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7897" windowHeight="12497" activeTab="1"/>
  </bookViews>
  <sheets>
    <sheet name="16-21 Skjema" sheetId="5" r:id="rId1"/>
    <sheet name="16-21 Løsning" sheetId="4" r:id="rId2"/>
    <sheet name="Ark2" sheetId="2" r:id="rId3"/>
    <sheet name="Ark3" sheetId="3" r:id="rId4"/>
  </sheets>
  <definedNames>
    <definedName name="_xlnm.Print_Area" localSheetId="1">'16-21 Løsning'!$B$5:$T$36</definedName>
    <definedName name="_xlnm.Print_Area" localSheetId="0">'16-21 Skjema'!$B$5:$T$36</definedName>
  </definedNames>
  <calcPr calcId="152511"/>
</workbook>
</file>

<file path=xl/calcChain.xml><?xml version="1.0" encoding="utf-8"?>
<calcChain xmlns="http://schemas.openxmlformats.org/spreadsheetml/2006/main">
  <c r="G113" i="4" l="1"/>
  <c r="E113" i="4"/>
  <c r="I113" i="4" s="1"/>
  <c r="D113" i="4"/>
  <c r="G48" i="5" l="1"/>
  <c r="M43" i="5"/>
  <c r="T26" i="5"/>
  <c r="W36" i="5"/>
  <c r="V36" i="5"/>
  <c r="AA35" i="5"/>
  <c r="Z35" i="5"/>
  <c r="Y35" i="5"/>
  <c r="S35" i="5"/>
  <c r="V35" i="5" s="1"/>
  <c r="AA34" i="5"/>
  <c r="Z34" i="5"/>
  <c r="Y34" i="5"/>
  <c r="AA33" i="5"/>
  <c r="Z33" i="5"/>
  <c r="Y33" i="5"/>
  <c r="S33" i="5"/>
  <c r="V33" i="5" s="1"/>
  <c r="AA32" i="5"/>
  <c r="Z32" i="5"/>
  <c r="Y32" i="5"/>
  <c r="AA31" i="5"/>
  <c r="Z31" i="5"/>
  <c r="Y31" i="5"/>
  <c r="T31" i="5"/>
  <c r="S31" i="5"/>
  <c r="V31" i="5" s="1"/>
  <c r="AA30" i="5"/>
  <c r="Z30" i="5"/>
  <c r="Y30" i="5"/>
  <c r="T30" i="5"/>
  <c r="S30" i="5"/>
  <c r="V30" i="5" s="1"/>
  <c r="AA29" i="5"/>
  <c r="Z29" i="5"/>
  <c r="Y29" i="5"/>
  <c r="AA28" i="5"/>
  <c r="Z28" i="5"/>
  <c r="Y28" i="5"/>
  <c r="S28" i="5"/>
  <c r="V28" i="5" s="1"/>
  <c r="AA27" i="5"/>
  <c r="Z27" i="5"/>
  <c r="Y27" i="5"/>
  <c r="S27" i="5"/>
  <c r="V27" i="5" s="1"/>
  <c r="W27" i="5"/>
  <c r="AA26" i="5"/>
  <c r="Z26" i="5"/>
  <c r="Y26" i="5"/>
  <c r="S26" i="5"/>
  <c r="V26" i="5" s="1"/>
  <c r="AA25" i="5"/>
  <c r="Z25" i="5"/>
  <c r="Y25" i="5"/>
  <c r="T25" i="5"/>
  <c r="W25" i="5" s="1"/>
  <c r="S25" i="5"/>
  <c r="V25" i="5" s="1"/>
  <c r="AA24" i="5"/>
  <c r="Z24" i="5"/>
  <c r="Y24" i="5"/>
  <c r="T24" i="5"/>
  <c r="Z23" i="5"/>
  <c r="Y23" i="5"/>
  <c r="AA23" i="5"/>
  <c r="Z22" i="5"/>
  <c r="Y22" i="5"/>
  <c r="Z21" i="5"/>
  <c r="Y21" i="5"/>
  <c r="AA20" i="5"/>
  <c r="Z20" i="5"/>
  <c r="Y20" i="5"/>
  <c r="S20" i="5"/>
  <c r="V20" i="5" s="1"/>
  <c r="AA19" i="5"/>
  <c r="Z19" i="5"/>
  <c r="Y19" i="5"/>
  <c r="Z18" i="5"/>
  <c r="Y18" i="5"/>
  <c r="R18" i="5"/>
  <c r="AA18" i="5"/>
  <c r="Z17" i="5"/>
  <c r="Y17" i="5"/>
  <c r="R17" i="5"/>
  <c r="S17" i="5" s="1"/>
  <c r="AA17" i="5"/>
  <c r="Z16" i="5"/>
  <c r="Y16" i="5"/>
  <c r="AA15" i="5"/>
  <c r="Z15" i="5"/>
  <c r="Y15" i="5"/>
  <c r="AA14" i="5"/>
  <c r="Z14" i="5"/>
  <c r="Y14" i="5"/>
  <c r="W14" i="5"/>
  <c r="R14" i="5"/>
  <c r="Z13" i="5"/>
  <c r="Y13" i="5"/>
  <c r="AA12" i="5"/>
  <c r="Z12" i="5"/>
  <c r="Y12" i="5"/>
  <c r="W12" i="5"/>
  <c r="Z11" i="5"/>
  <c r="Y11" i="5"/>
  <c r="U11" i="5"/>
  <c r="AA10" i="5"/>
  <c r="Z10" i="5"/>
  <c r="Y10" i="5"/>
  <c r="AA9" i="5"/>
  <c r="Z9" i="5"/>
  <c r="Y9" i="5"/>
  <c r="U9" i="5"/>
  <c r="R9" i="5"/>
  <c r="Z8" i="5"/>
  <c r="Y8" i="5"/>
  <c r="R8" i="5"/>
  <c r="AA8" i="5"/>
  <c r="Z7" i="5"/>
  <c r="Y7" i="5"/>
  <c r="V7" i="5"/>
  <c r="W7" i="5" s="1"/>
  <c r="R7" i="5"/>
  <c r="AA7" i="5"/>
  <c r="Z6" i="5"/>
  <c r="Y6" i="5"/>
  <c r="AH5" i="5"/>
  <c r="AG5" i="5"/>
  <c r="AF5" i="5"/>
  <c r="AE5" i="5"/>
  <c r="AD5" i="5"/>
  <c r="AC5" i="5"/>
  <c r="AB5" i="5"/>
  <c r="AA5" i="5"/>
  <c r="Z5" i="5"/>
  <c r="Y5" i="5"/>
  <c r="S2" i="5"/>
  <c r="M152" i="4"/>
  <c r="G157" i="4"/>
  <c r="U17" i="5" l="1"/>
  <c r="V17" i="5" s="1"/>
  <c r="W17" i="5" s="1"/>
  <c r="J46" i="5"/>
  <c r="R11" i="5"/>
  <c r="S11" i="5" s="1"/>
  <c r="V11" i="5" s="1"/>
  <c r="W11" i="5" s="1"/>
  <c r="T28" i="5"/>
  <c r="R10" i="5"/>
  <c r="S10" i="5" s="1"/>
  <c r="V10" i="5" s="1"/>
  <c r="W10" i="5" s="1"/>
  <c r="S9" i="5"/>
  <c r="V9" i="5" s="1"/>
  <c r="W9" i="5" s="1"/>
  <c r="W24" i="5"/>
  <c r="S8" i="5"/>
  <c r="M44" i="5"/>
  <c r="M45" i="5" s="1"/>
  <c r="R6" i="5"/>
  <c r="U6" i="5"/>
  <c r="AA11" i="5"/>
  <c r="AA6" i="5"/>
  <c r="T20" i="5"/>
  <c r="U8" i="5"/>
  <c r="T23" i="5"/>
  <c r="D121" i="4"/>
  <c r="G143" i="4" s="1"/>
  <c r="Z22" i="4"/>
  <c r="Y22" i="4"/>
  <c r="Z21" i="4"/>
  <c r="Y21" i="4"/>
  <c r="E144" i="4"/>
  <c r="I132" i="4"/>
  <c r="H132" i="4"/>
  <c r="I131" i="4"/>
  <c r="H131" i="4"/>
  <c r="I130" i="4"/>
  <c r="H130" i="4"/>
  <c r="D129" i="4"/>
  <c r="H129" i="4" s="1"/>
  <c r="I127" i="4"/>
  <c r="H127" i="4"/>
  <c r="U17" i="4" s="1"/>
  <c r="I126" i="4"/>
  <c r="I125" i="4"/>
  <c r="H125" i="4"/>
  <c r="U8" i="4" s="1"/>
  <c r="H124" i="4"/>
  <c r="U11" i="4" s="1"/>
  <c r="E124" i="4"/>
  <c r="I107" i="4"/>
  <c r="H94" i="4"/>
  <c r="I93" i="4"/>
  <c r="F94" i="4" s="1"/>
  <c r="H88" i="4"/>
  <c r="H89" i="4" s="1"/>
  <c r="I89" i="4" s="1"/>
  <c r="F87" i="4"/>
  <c r="I87" i="4" s="1"/>
  <c r="L69" i="4"/>
  <c r="M69" i="4" s="1"/>
  <c r="J18" i="4" s="1"/>
  <c r="K69" i="4"/>
  <c r="J69" i="4"/>
  <c r="I69" i="4"/>
  <c r="D18" i="4" s="1"/>
  <c r="H69" i="4"/>
  <c r="L68" i="4"/>
  <c r="M68" i="4" s="1"/>
  <c r="K68" i="4"/>
  <c r="J68" i="4"/>
  <c r="I68" i="4"/>
  <c r="H68" i="4"/>
  <c r="D46" i="4"/>
  <c r="D48" i="4" s="1"/>
  <c r="F48" i="4" s="1"/>
  <c r="E45" i="4"/>
  <c r="E43" i="4"/>
  <c r="D45" i="4" s="1"/>
  <c r="W36" i="4"/>
  <c r="V36" i="4"/>
  <c r="H36" i="4"/>
  <c r="AA35" i="4"/>
  <c r="Z35" i="4"/>
  <c r="Y35" i="4"/>
  <c r="S35" i="4"/>
  <c r="V35" i="4" s="1"/>
  <c r="AA34" i="4"/>
  <c r="Z34" i="4"/>
  <c r="Y34" i="4"/>
  <c r="AA33" i="4"/>
  <c r="Z33" i="4"/>
  <c r="Y33" i="4"/>
  <c r="S33" i="4"/>
  <c r="V33" i="4" s="1"/>
  <c r="AA32" i="4"/>
  <c r="Z32" i="4"/>
  <c r="Y32" i="4"/>
  <c r="AA31" i="4"/>
  <c r="Z31" i="4"/>
  <c r="Y31" i="4"/>
  <c r="T31" i="4"/>
  <c r="S31" i="4"/>
  <c r="V31" i="4" s="1"/>
  <c r="AA30" i="4"/>
  <c r="Z30" i="4"/>
  <c r="Y30" i="4"/>
  <c r="S30" i="4"/>
  <c r="V30" i="4" s="1"/>
  <c r="AA29" i="4"/>
  <c r="Z29" i="4"/>
  <c r="Y29" i="4"/>
  <c r="O29" i="4"/>
  <c r="P29" i="4" s="1"/>
  <c r="AA28" i="4"/>
  <c r="Z28" i="4"/>
  <c r="Y28" i="4"/>
  <c r="S28" i="4"/>
  <c r="V28" i="4" s="1"/>
  <c r="Z27" i="4"/>
  <c r="Y27" i="4"/>
  <c r="S27" i="4"/>
  <c r="V27" i="4" s="1"/>
  <c r="AA27" i="4"/>
  <c r="AA26" i="4"/>
  <c r="Z26" i="4"/>
  <c r="Y26" i="4"/>
  <c r="S26" i="4"/>
  <c r="V26" i="4" s="1"/>
  <c r="AA25" i="4"/>
  <c r="Z25" i="4"/>
  <c r="Y25" i="4"/>
  <c r="T25" i="4"/>
  <c r="S25" i="4"/>
  <c r="V25" i="4" s="1"/>
  <c r="H25" i="4"/>
  <c r="O25" i="4" s="1"/>
  <c r="P25" i="4" s="1"/>
  <c r="AA24" i="4"/>
  <c r="Z24" i="4"/>
  <c r="Y24" i="4"/>
  <c r="T24" i="4"/>
  <c r="Z23" i="4"/>
  <c r="Y23" i="4"/>
  <c r="AA20" i="4"/>
  <c r="Z20" i="4"/>
  <c r="Y20" i="4"/>
  <c r="S20" i="4"/>
  <c r="V20" i="4" s="1"/>
  <c r="O20" i="4"/>
  <c r="P20" i="4" s="1"/>
  <c r="T20" i="4" s="1"/>
  <c r="AA19" i="4"/>
  <c r="Z19" i="4"/>
  <c r="Y19" i="4"/>
  <c r="M19" i="4"/>
  <c r="M33" i="4" s="1"/>
  <c r="Z18" i="4"/>
  <c r="Y18" i="4"/>
  <c r="R18" i="4"/>
  <c r="Z17" i="4"/>
  <c r="Y17" i="4"/>
  <c r="R17" i="4"/>
  <c r="D17" i="4"/>
  <c r="O17" i="4" s="1"/>
  <c r="Q17" i="4" s="1"/>
  <c r="Z16" i="4"/>
  <c r="Y16" i="4"/>
  <c r="AA15" i="4"/>
  <c r="Z15" i="4"/>
  <c r="Y15" i="4"/>
  <c r="AA14" i="4"/>
  <c r="Z14" i="4"/>
  <c r="Y14" i="4"/>
  <c r="W14" i="4"/>
  <c r="O14" i="4"/>
  <c r="Q14" i="4" s="1"/>
  <c r="R14" i="4" s="1"/>
  <c r="Z13" i="4"/>
  <c r="Y13" i="4"/>
  <c r="Z12" i="4"/>
  <c r="Y12" i="4"/>
  <c r="W12" i="4"/>
  <c r="I12" i="4"/>
  <c r="I32" i="4" s="1"/>
  <c r="O32" i="4" s="1"/>
  <c r="P32" i="4" s="1"/>
  <c r="H139" i="4" s="1"/>
  <c r="AA12" i="4"/>
  <c r="Z11" i="4"/>
  <c r="Y11" i="4"/>
  <c r="D11" i="4"/>
  <c r="AA11" i="4" s="1"/>
  <c r="AA10" i="4"/>
  <c r="Z10" i="4"/>
  <c r="Y10" i="4"/>
  <c r="O10" i="4"/>
  <c r="Q10" i="4" s="1"/>
  <c r="Z9" i="4"/>
  <c r="Y9" i="4"/>
  <c r="R9" i="4"/>
  <c r="Z8" i="4"/>
  <c r="Y8" i="4"/>
  <c r="R8" i="4"/>
  <c r="D8" i="4"/>
  <c r="F53" i="4" s="1"/>
  <c r="F54" i="4" s="1"/>
  <c r="F8" i="4" s="1"/>
  <c r="Z7" i="4"/>
  <c r="Y7" i="4"/>
  <c r="V7" i="4"/>
  <c r="W7" i="4" s="1"/>
  <c r="R7" i="4"/>
  <c r="Z6" i="4"/>
  <c r="Y6" i="4"/>
  <c r="D6" i="4"/>
  <c r="AH5" i="4"/>
  <c r="AG5" i="4"/>
  <c r="AF5" i="4"/>
  <c r="AE5" i="4"/>
  <c r="AD5" i="4"/>
  <c r="AC5" i="4"/>
  <c r="AB5" i="4"/>
  <c r="AA5" i="4"/>
  <c r="Z5" i="4"/>
  <c r="Y5" i="4"/>
  <c r="S2" i="4"/>
  <c r="T30" i="4"/>
  <c r="O27" i="4"/>
  <c r="P27" i="4" s="1"/>
  <c r="W27" i="4" s="1"/>
  <c r="AA17" i="4" l="1"/>
  <c r="I108" i="4"/>
  <c r="F113" i="4"/>
  <c r="H113" i="4" s="1"/>
  <c r="J113" i="4" s="1"/>
  <c r="V8" i="5"/>
  <c r="W8" i="5" s="1"/>
  <c r="W23" i="5"/>
  <c r="W28" i="5"/>
  <c r="J45" i="5"/>
  <c r="J48" i="5" s="1"/>
  <c r="J49" i="5" s="1"/>
  <c r="W26" i="5"/>
  <c r="AA8" i="4"/>
  <c r="E36" i="4"/>
  <c r="K70" i="4"/>
  <c r="J127" i="4"/>
  <c r="J70" i="4"/>
  <c r="J72" i="4" s="1"/>
  <c r="E79" i="4" s="1"/>
  <c r="J130" i="4"/>
  <c r="J132" i="4"/>
  <c r="I88" i="4"/>
  <c r="I90" i="4" s="1"/>
  <c r="AA6" i="4"/>
  <c r="S17" i="4"/>
  <c r="I94" i="4"/>
  <c r="J155" i="4" s="1"/>
  <c r="L70" i="4"/>
  <c r="J131" i="4"/>
  <c r="F45" i="4"/>
  <c r="G45" i="4" s="1"/>
  <c r="E46" i="4" s="1"/>
  <c r="F46" i="4" s="1"/>
  <c r="G124" i="4" s="1"/>
  <c r="T28" i="4" s="1"/>
  <c r="I70" i="4"/>
  <c r="F128" i="4" s="1"/>
  <c r="D7" i="4"/>
  <c r="AA7" i="4" s="1"/>
  <c r="W25" i="4"/>
  <c r="H70" i="4"/>
  <c r="M70" i="4"/>
  <c r="J7" i="4"/>
  <c r="J31" i="4" s="1"/>
  <c r="O31" i="4" s="1"/>
  <c r="P31" i="4" s="1"/>
  <c r="U6" i="4"/>
  <c r="G139" i="4"/>
  <c r="E139" i="4"/>
  <c r="I109" i="4"/>
  <c r="T26" i="4"/>
  <c r="V17" i="4"/>
  <c r="W17" i="4" s="1"/>
  <c r="O8" i="4"/>
  <c r="Q8" i="4" s="1"/>
  <c r="S8" i="4" s="1"/>
  <c r="V8" i="4" s="1"/>
  <c r="W8" i="4" s="1"/>
  <c r="F23" i="4"/>
  <c r="E128" i="4"/>
  <c r="AA18" i="4"/>
  <c r="O18" i="4"/>
  <c r="Q18" i="4" s="1"/>
  <c r="R10" i="4"/>
  <c r="S10" i="4" s="1"/>
  <c r="V10" i="4" s="1"/>
  <c r="W10" i="4" s="1"/>
  <c r="I36" i="4"/>
  <c r="O12" i="4"/>
  <c r="Q12" i="4" s="1"/>
  <c r="J125" i="4"/>
  <c r="F49" i="4"/>
  <c r="F50" i="4" s="1"/>
  <c r="E11" i="4" s="1"/>
  <c r="U18" i="5" l="1"/>
  <c r="V18" i="5" s="1"/>
  <c r="W18" i="5" s="1"/>
  <c r="W31" i="5"/>
  <c r="R36" i="5"/>
  <c r="I98" i="4"/>
  <c r="J154" i="4"/>
  <c r="J157" i="4" s="1"/>
  <c r="J158" i="4" s="1"/>
  <c r="E129" i="4" s="1"/>
  <c r="D128" i="4"/>
  <c r="H128" i="4" s="1"/>
  <c r="U18" i="4" s="1"/>
  <c r="V18" i="4" s="1"/>
  <c r="W18" i="4" s="1"/>
  <c r="I95" i="4"/>
  <c r="M153" i="4" s="1"/>
  <c r="M154" i="4" s="1"/>
  <c r="I124" i="4"/>
  <c r="J124" i="4" s="1"/>
  <c r="R11" i="4"/>
  <c r="I71" i="4"/>
  <c r="I72" i="4"/>
  <c r="D79" i="4" s="1"/>
  <c r="E28" i="4"/>
  <c r="O28" i="4" s="1"/>
  <c r="P28" i="4" s="1"/>
  <c r="W28" i="4" s="1"/>
  <c r="O11" i="4"/>
  <c r="Q11" i="4" s="1"/>
  <c r="S11" i="4" s="1"/>
  <c r="V11" i="4" s="1"/>
  <c r="W11" i="4" s="1"/>
  <c r="K26" i="4"/>
  <c r="O26" i="4" s="1"/>
  <c r="P26" i="4" s="1"/>
  <c r="W26" i="4" s="1"/>
  <c r="G129" i="4"/>
  <c r="R6" i="4"/>
  <c r="J30" i="4"/>
  <c r="O30" i="4" s="1"/>
  <c r="P30" i="4" s="1"/>
  <c r="W31" i="4" s="1"/>
  <c r="O7" i="4"/>
  <c r="Q7" i="4" s="1"/>
  <c r="I99" i="4"/>
  <c r="I100" i="4" s="1"/>
  <c r="K6" i="4" s="1"/>
  <c r="D37" i="5" l="1"/>
  <c r="AA16" i="5"/>
  <c r="R13" i="5"/>
  <c r="S13" i="5" s="1"/>
  <c r="V13" i="5" s="1"/>
  <c r="W13" i="5" s="1"/>
  <c r="I73" i="4"/>
  <c r="F79" i="4" s="1"/>
  <c r="H79" i="4" s="1"/>
  <c r="J71" i="4"/>
  <c r="I74" i="4"/>
  <c r="I129" i="4"/>
  <c r="J129" i="4" s="1"/>
  <c r="F36" i="4"/>
  <c r="O6" i="4"/>
  <c r="G36" i="4"/>
  <c r="AA13" i="5" l="1"/>
  <c r="X36" i="5"/>
  <c r="S6" i="5"/>
  <c r="V6" i="5" s="1"/>
  <c r="J73" i="4"/>
  <c r="J74" i="4"/>
  <c r="Q6" i="4"/>
  <c r="G128" i="4" l="1"/>
  <c r="I128" i="4" s="1"/>
  <c r="J128" i="4" s="1"/>
  <c r="G79" i="4"/>
  <c r="I79" i="4" s="1"/>
  <c r="J79" i="4" s="1"/>
  <c r="W6" i="5"/>
  <c r="I133" i="4"/>
  <c r="I134" i="4" s="1"/>
  <c r="S6" i="4"/>
  <c r="V6" i="4" s="1"/>
  <c r="W6" i="4" l="1"/>
  <c r="H126" i="4"/>
  <c r="J126" i="4" s="1"/>
  <c r="J133" i="4" s="1"/>
  <c r="D9" i="4"/>
  <c r="AA9" i="4" s="1"/>
  <c r="D23" i="4"/>
  <c r="T23" i="4" s="1"/>
  <c r="R16" i="5" l="1"/>
  <c r="S16" i="5" s="1"/>
  <c r="V16" i="5" s="1"/>
  <c r="W16" i="5" s="1"/>
  <c r="O23" i="4"/>
  <c r="P23" i="4" s="1"/>
  <c r="W23" i="4" s="1"/>
  <c r="AA23" i="4"/>
  <c r="H133" i="4"/>
  <c r="H134" i="4" s="1"/>
  <c r="D16" i="4" s="1"/>
  <c r="D37" i="4" s="1"/>
  <c r="D13" i="4" s="1"/>
  <c r="F58" i="4"/>
  <c r="F59" i="4" s="1"/>
  <c r="G9" i="4" s="1"/>
  <c r="G24" i="4" s="1"/>
  <c r="O24" i="4" s="1"/>
  <c r="P24" i="4" s="1"/>
  <c r="W24" i="4" s="1"/>
  <c r="J134" i="4"/>
  <c r="E145" i="4" s="1"/>
  <c r="E140" i="4"/>
  <c r="U9" i="4"/>
  <c r="R19" i="5" l="1"/>
  <c r="S19" i="5" s="1"/>
  <c r="V19" i="5" s="1"/>
  <c r="O9" i="4"/>
  <c r="Q9" i="4" s="1"/>
  <c r="AA16" i="4"/>
  <c r="R39" i="4"/>
  <c r="E138" i="4"/>
  <c r="E141" i="4" s="1"/>
  <c r="O13" i="4"/>
  <c r="Q13" i="4" s="1"/>
  <c r="AA13" i="4"/>
  <c r="R36" i="4"/>
  <c r="N34" i="4"/>
  <c r="O34" i="4" s="1"/>
  <c r="P34" i="4" s="1"/>
  <c r="N16" i="4"/>
  <c r="O16" i="4" s="1"/>
  <c r="Q16" i="4" s="1"/>
  <c r="D36" i="4"/>
  <c r="X36" i="4" s="1"/>
  <c r="F138" i="4" l="1"/>
  <c r="E143" i="4"/>
  <c r="R16" i="4"/>
  <c r="S16" i="4" s="1"/>
  <c r="V16" i="4" s="1"/>
  <c r="W16" i="4" s="1"/>
  <c r="S9" i="4"/>
  <c r="V9" i="4" s="1"/>
  <c r="R13" i="4"/>
  <c r="S13" i="4" s="1"/>
  <c r="V13" i="4" s="1"/>
  <c r="W13" i="4" s="1"/>
  <c r="L37" i="5" l="1"/>
  <c r="W9" i="4"/>
  <c r="H143" i="4"/>
  <c r="N33" i="4"/>
  <c r="O33" i="4" s="1"/>
  <c r="P33" i="4" s="1"/>
  <c r="E146" i="4"/>
  <c r="F146" i="4" s="1"/>
  <c r="F147" i="4" s="1"/>
  <c r="N35" i="4" s="1"/>
  <c r="N19" i="4"/>
  <c r="O19" i="4" s="1"/>
  <c r="Q19" i="4" s="1"/>
  <c r="R15" i="5" l="1"/>
  <c r="S15" i="5" s="1"/>
  <c r="V15" i="5" s="1"/>
  <c r="N37" i="5"/>
  <c r="R19" i="4"/>
  <c r="S19" i="4" s="1"/>
  <c r="V19" i="4" s="1"/>
  <c r="O35" i="4"/>
  <c r="P35" i="4" s="1"/>
  <c r="L36" i="4" s="1"/>
  <c r="N15" i="4"/>
  <c r="W15" i="5" l="1"/>
  <c r="T36" i="5" s="1"/>
  <c r="S36" i="5"/>
  <c r="P37" i="5" s="1"/>
  <c r="M36" i="4"/>
  <c r="J36" i="4"/>
  <c r="O15" i="4"/>
  <c r="P36" i="4"/>
  <c r="Q15" i="4" l="1"/>
  <c r="K36" i="4"/>
  <c r="O36" i="4"/>
  <c r="L37" i="4" s="1"/>
  <c r="R15" i="4" l="1"/>
  <c r="S15" i="4" s="1"/>
  <c r="V15" i="4" s="1"/>
  <c r="N36" i="4"/>
  <c r="Q36" i="4"/>
  <c r="N37" i="4" s="1"/>
  <c r="W15" i="4" l="1"/>
  <c r="T36" i="4" s="1"/>
  <c r="S36" i="4"/>
  <c r="P37" i="4" s="1"/>
</calcChain>
</file>

<file path=xl/sharedStrings.xml><?xml version="1.0" encoding="utf-8"?>
<sst xmlns="http://schemas.openxmlformats.org/spreadsheetml/2006/main" count="282" uniqueCount="149">
  <si>
    <t>Konto</t>
  </si>
  <si>
    <t>Resultat</t>
  </si>
  <si>
    <t>Balanse</t>
  </si>
  <si>
    <t>Driftsmidler</t>
  </si>
  <si>
    <t>Langsiktig fordring</t>
  </si>
  <si>
    <t>Råvarer</t>
  </si>
  <si>
    <t>Ferdige varer</t>
  </si>
  <si>
    <t>Kundefordringer</t>
  </si>
  <si>
    <t>Avsetn. tap fordringer</t>
  </si>
  <si>
    <t>Aksjer</t>
  </si>
  <si>
    <t>Kontanter</t>
  </si>
  <si>
    <t>AK</t>
  </si>
  <si>
    <t>Annen egenkapital</t>
  </si>
  <si>
    <t>Utsatt skatt</t>
  </si>
  <si>
    <t>Garantiavsetning</t>
  </si>
  <si>
    <t>Langsiktig valutagjeld</t>
  </si>
  <si>
    <t>Betalbar skatt</t>
  </si>
  <si>
    <t>Driftsinntekter</t>
  </si>
  <si>
    <t>Innkjøp råvarer</t>
  </si>
  <si>
    <t>Beholdningsendr. F.V.</t>
  </si>
  <si>
    <t>Div. driftskostnader</t>
  </si>
  <si>
    <t>Avskrivninger</t>
  </si>
  <si>
    <t>Salg anlegg</t>
  </si>
  <si>
    <t>Tap på fordringer</t>
  </si>
  <si>
    <t>Utbytte aksjer</t>
  </si>
  <si>
    <t>Valutagevinst</t>
  </si>
  <si>
    <t>Valutatap</t>
  </si>
  <si>
    <t>Kursjusteringer aksjer</t>
  </si>
  <si>
    <t>Endring utsatt skatt</t>
  </si>
  <si>
    <t>20x0</t>
  </si>
  <si>
    <t>20x1</t>
  </si>
  <si>
    <t>Kredittsalg</t>
  </si>
  <si>
    <t>Konstatert tap på fordr.</t>
  </si>
  <si>
    <t>Faktortall</t>
  </si>
  <si>
    <t>Gjennomsnittlig tapsprosent</t>
  </si>
  <si>
    <t>Verdi</t>
  </si>
  <si>
    <t>Endring</t>
  </si>
  <si>
    <t xml:space="preserve"> </t>
  </si>
  <si>
    <t>Beløp</t>
  </si>
  <si>
    <t xml:space="preserve"> 1.1. </t>
  </si>
  <si>
    <t>31.12.</t>
  </si>
  <si>
    <t>Anskaff.</t>
  </si>
  <si>
    <t>Kurs 1.1.</t>
  </si>
  <si>
    <t>Kurs 31.12.</t>
  </si>
  <si>
    <t>før 1.1.</t>
  </si>
  <si>
    <t>Fordring $</t>
  </si>
  <si>
    <t>Gjeld Euro</t>
  </si>
  <si>
    <t>Nettoverdier</t>
  </si>
  <si>
    <t>SM verdiendring:</t>
  </si>
  <si>
    <t>RM nettoverdi</t>
  </si>
  <si>
    <t xml:space="preserve">Skattemessig nettoverdi </t>
  </si>
  <si>
    <t>Midlertidig forskjell</t>
  </si>
  <si>
    <t>ÅRETS AVSKRIVNING:</t>
  </si>
  <si>
    <t>Eie 1.1.</t>
  </si>
  <si>
    <t>Solgt</t>
  </si>
  <si>
    <t>Andel</t>
  </si>
  <si>
    <t>%</t>
  </si>
  <si>
    <t>Sum</t>
  </si>
  <si>
    <t xml:space="preserve"> 1/1 år:</t>
  </si>
  <si>
    <t>Anskaffet</t>
  </si>
  <si>
    <t>BOKFØRT VERDI SOLGT</t>
  </si>
  <si>
    <t>ÅR</t>
  </si>
  <si>
    <t>Anskaffelseskost:</t>
  </si>
  <si>
    <t>Avskrevet</t>
  </si>
  <si>
    <t>Netto</t>
  </si>
  <si>
    <t>IB</t>
  </si>
  <si>
    <t>Tilgang</t>
  </si>
  <si>
    <t>Grunnlag</t>
  </si>
  <si>
    <t>Saldoavskrivning</t>
  </si>
  <si>
    <t>SKATTEMESSIG VERDI</t>
  </si>
  <si>
    <t/>
  </si>
  <si>
    <t>Regnskapsmessig</t>
  </si>
  <si>
    <t>Skattemessig</t>
  </si>
  <si>
    <t>UB</t>
  </si>
  <si>
    <t>Avsetning tap</t>
  </si>
  <si>
    <t>Langs. valutaposter</t>
  </si>
  <si>
    <t>Sum midlertidige forskjeller</t>
  </si>
  <si>
    <t>RESULTAT</t>
  </si>
  <si>
    <t>RM resultat før skattekostnad</t>
  </si>
  <si>
    <t>Endring midlertidige forskjeller</t>
  </si>
  <si>
    <t>Permanente forskjeller</t>
  </si>
  <si>
    <t>SM resultat</t>
  </si>
  <si>
    <t>Korrigering</t>
  </si>
  <si>
    <t>Skattekostnad</t>
  </si>
  <si>
    <t>Skattm.</t>
  </si>
  <si>
    <t>MF</t>
  </si>
  <si>
    <t>SM</t>
  </si>
  <si>
    <t>END-</t>
  </si>
  <si>
    <t>Res</t>
  </si>
  <si>
    <t>Diff</t>
  </si>
  <si>
    <t>LØSNING:</t>
  </si>
  <si>
    <t>RM avsetning 1.1.</t>
  </si>
  <si>
    <t>Endring (økning)</t>
  </si>
  <si>
    <r>
      <rPr>
        <b/>
        <sz val="10"/>
        <rFont val="Trebuchet MS"/>
        <family val="2"/>
      </rPr>
      <t>Råvarelageret</t>
    </r>
    <r>
      <rPr>
        <sz val="10"/>
        <rFont val="Trebuchet MS"/>
        <family val="2"/>
      </rPr>
      <t xml:space="preserve"> føres til virkelig verdi:</t>
    </r>
  </si>
  <si>
    <t>Verdi 1.1.:</t>
  </si>
  <si>
    <t>Ferdigvarelager:</t>
  </si>
  <si>
    <t>Verdivurdering 31.12.</t>
  </si>
  <si>
    <t>Endring (reduksjon)</t>
  </si>
  <si>
    <r>
      <rPr>
        <b/>
        <sz val="10"/>
        <rFont val="Trebuchet MS"/>
        <family val="2"/>
      </rPr>
      <t>Garanatiavsetning:</t>
    </r>
    <r>
      <rPr>
        <sz val="10"/>
        <rFont val="Trebuchet MS"/>
        <family val="2"/>
      </rPr>
      <t xml:space="preserve"> (Reduksjon)</t>
    </r>
  </si>
  <si>
    <t>Valuta</t>
  </si>
  <si>
    <t>Posteres</t>
  </si>
  <si>
    <t>Regnskapsm. avskr.</t>
  </si>
  <si>
    <t>AKKUMULERT KOST</t>
  </si>
  <si>
    <t>AKKUMULERT AVSKRIVNING</t>
  </si>
  <si>
    <t>Salgspris</t>
  </si>
  <si>
    <t>Salgsum</t>
  </si>
  <si>
    <t>Bokført verdi avgang</t>
  </si>
  <si>
    <t>Nedskrivning med salgsum?</t>
  </si>
  <si>
    <t>Ordinære avskrivninger</t>
  </si>
  <si>
    <t>RESULTAT SALG</t>
  </si>
  <si>
    <t>Antall år i eie ved avgang</t>
  </si>
  <si>
    <t>Avgang</t>
  </si>
  <si>
    <t>Avskrivn. 1. driftsår ved tilgang</t>
  </si>
  <si>
    <t>Nedskrivning</t>
  </si>
  <si>
    <t>Avskrivning ved avgang</t>
  </si>
  <si>
    <t>REGNSKAPSMESSIG VERDI</t>
  </si>
  <si>
    <t>Oppgjørspostering:</t>
  </si>
  <si>
    <t>Avskrivning:</t>
  </si>
  <si>
    <t>Solgt anleggsmiddel</t>
  </si>
  <si>
    <t>Skattemessig oversikt</t>
  </si>
  <si>
    <t>Saldosats:</t>
  </si>
  <si>
    <t>Nedskrivning saldo med salgspris</t>
  </si>
  <si>
    <t>Salg lagerbygning:</t>
  </si>
  <si>
    <t>Ingen postering RM.  Kun for å kunne beregne midlertidige forskjeller.</t>
  </si>
  <si>
    <t>Gevinst/tap ved salg av bygninger overføres gevinst/tapskonto som SM</t>
  </si>
  <si>
    <t>inntektsføres/tapsføres 20 % årlig etter saldoprinsippet.</t>
  </si>
  <si>
    <t>Skatt og resultat</t>
  </si>
  <si>
    <t xml:space="preserve">Utsatt skatt </t>
  </si>
  <si>
    <t>Gevinstkonto</t>
  </si>
  <si>
    <t>Årsresultat</t>
  </si>
  <si>
    <t>Gevinst salg anlegg</t>
  </si>
  <si>
    <t>Tap salg anlegg</t>
  </si>
  <si>
    <t>Skatteprosent:</t>
  </si>
  <si>
    <t>Skattemessig avsetning</t>
  </si>
  <si>
    <t>Verdiendring aksjer (permanent forskjell)</t>
  </si>
  <si>
    <t>Kurser</t>
  </si>
  <si>
    <t>nr</t>
  </si>
  <si>
    <t>Endelig</t>
  </si>
  <si>
    <t>s.balanse</t>
  </si>
  <si>
    <t>Foreløpig</t>
  </si>
  <si>
    <t>Oppgjørsposteriniger</t>
  </si>
  <si>
    <t>Regnskapsmessig avsetning</t>
  </si>
  <si>
    <t>Utbytte</t>
  </si>
  <si>
    <t>Verdiendring</t>
  </si>
  <si>
    <t>Kursendr.</t>
  </si>
  <si>
    <t>i år</t>
  </si>
  <si>
    <t>Oppgave 16-21 Løsning</t>
  </si>
  <si>
    <t>Oppgave 16-21 Skjema</t>
  </si>
  <si>
    <t>Valutaposter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</si>
</sst>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#,##0.0"/>
    <numFmt numFmtId="165" formatCode="0.0"/>
    <numFmt numFmtId="166" formatCode="0.00%"/>
    <numFmt numFmtId="167" formatCode="_ * #,##0_ ;_ * \-#,##0_ ;_ * &quot;-&quot;??_ ;_ @_ "/>
    <numFmt numFmtId="168" formatCode="0%"/>
  </numFmts>
  <fonts count="9" x14ac:knownFonts="1">
    <font>
      <sz val="10"/>
      <name val="Trebuchet MS"/>
    </font>
    <font>
      <sz val="10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10"/>
      <color rgb="FFC00000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  <font>
      <sz val="1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f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3" fillId="0" borderId="0" xfId="3" applyNumberFormat="1" applyFont="1"/>
    <xf numFmtId="164" fontId="4" fillId="0" borderId="4" xfId="3" applyNumberFormat="1" applyFont="1" applyBorder="1"/>
    <xf numFmtId="3" fontId="4" fillId="0" borderId="1" xfId="3" applyNumberFormat="1" applyFont="1" applyBorder="1" applyAlignment="1">
      <alignment horizontal="center"/>
    </xf>
    <xf numFmtId="164" fontId="4" fillId="0" borderId="1" xfId="3" applyNumberFormat="1" applyFont="1" applyBorder="1"/>
    <xf numFmtId="0" fontId="3" fillId="0" borderId="0" xfId="3" applyNumberFormat="1" applyFont="1" applyAlignment="1">
      <alignment horizontal="center"/>
    </xf>
    <xf numFmtId="0" fontId="3" fillId="0" borderId="0" xfId="3" applyFont="1"/>
    <xf numFmtId="3" fontId="3" fillId="0" borderId="0" xfId="3" applyNumberFormat="1" applyFont="1"/>
    <xf numFmtId="0" fontId="3" fillId="0" borderId="8" xfId="3" applyNumberFormat="1" applyFont="1" applyBorder="1"/>
    <xf numFmtId="0" fontId="3" fillId="0" borderId="0" xfId="3" applyNumberFormat="1" applyFont="1" applyBorder="1"/>
    <xf numFmtId="0" fontId="3" fillId="0" borderId="0" xfId="3" applyNumberFormat="1" applyFont="1" applyBorder="1" applyAlignment="1">
      <alignment horizontal="right"/>
    </xf>
    <xf numFmtId="0" fontId="3" fillId="0" borderId="3" xfId="3" applyNumberFormat="1" applyFont="1" applyBorder="1"/>
    <xf numFmtId="168" fontId="5" fillId="0" borderId="0" xfId="3" applyNumberFormat="1" applyFont="1"/>
    <xf numFmtId="0" fontId="3" fillId="0" borderId="0" xfId="3" applyFont="1" applyAlignment="1">
      <alignment horizontal="left"/>
    </xf>
    <xf numFmtId="0" fontId="3" fillId="0" borderId="27" xfId="3" applyFont="1" applyBorder="1" applyAlignment="1">
      <alignment horizontal="center"/>
    </xf>
    <xf numFmtId="0" fontId="3" fillId="0" borderId="27" xfId="3" applyNumberFormat="1" applyFont="1" applyBorder="1" applyAlignment="1">
      <alignment horizontal="center"/>
    </xf>
    <xf numFmtId="0" fontId="3" fillId="0" borderId="28" xfId="3" applyFont="1" applyBorder="1" applyAlignment="1">
      <alignment horizontal="center"/>
    </xf>
    <xf numFmtId="3" fontId="3" fillId="0" borderId="0" xfId="3" applyNumberFormat="1" applyFont="1" applyFill="1"/>
    <xf numFmtId="3" fontId="3" fillId="0" borderId="29" xfId="3" applyNumberFormat="1" applyFont="1" applyBorder="1" applyAlignment="1">
      <alignment horizontal="center"/>
    </xf>
    <xf numFmtId="3" fontId="3" fillId="0" borderId="30" xfId="3" applyNumberFormat="1" applyFont="1" applyBorder="1" applyAlignment="1">
      <alignment horizontal="center"/>
    </xf>
    <xf numFmtId="3" fontId="3" fillId="0" borderId="31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center"/>
    </xf>
    <xf numFmtId="0" fontId="3" fillId="0" borderId="0" xfId="3" applyFont="1" applyAlignment="1">
      <alignment horizontal="center"/>
    </xf>
    <xf numFmtId="0" fontId="3" fillId="0" borderId="20" xfId="3" applyFont="1" applyBorder="1" applyAlignment="1">
      <alignment horizontal="center"/>
    </xf>
    <xf numFmtId="0" fontId="1" fillId="0" borderId="0" xfId="3" applyNumberFormat="1" applyFont="1" applyAlignment="1">
      <alignment horizontal="center"/>
    </xf>
    <xf numFmtId="3" fontId="1" fillId="0" borderId="0" xfId="3" applyNumberFormat="1" applyFont="1"/>
    <xf numFmtId="3" fontId="1" fillId="0" borderId="0" xfId="3" applyNumberFormat="1" applyFont="1" applyBorder="1"/>
    <xf numFmtId="9" fontId="1" fillId="0" borderId="0" xfId="5" applyFont="1" applyBorder="1"/>
    <xf numFmtId="3" fontId="1" fillId="0" borderId="0" xfId="3" applyNumberFormat="1" applyFont="1" applyBorder="1" applyAlignment="1">
      <alignment horizontal="right"/>
    </xf>
    <xf numFmtId="0" fontId="1" fillId="0" borderId="0" xfId="3" applyFont="1"/>
    <xf numFmtId="3" fontId="1" fillId="0" borderId="25" xfId="3" applyNumberFormat="1" applyFont="1" applyBorder="1"/>
    <xf numFmtId="164" fontId="1" fillId="0" borderId="13" xfId="3" applyNumberFormat="1" applyFont="1" applyBorder="1" applyAlignment="1">
      <alignment horizontal="right"/>
    </xf>
    <xf numFmtId="164" fontId="1" fillId="0" borderId="4" xfId="3" applyNumberFormat="1" applyFont="1" applyBorder="1" applyAlignment="1">
      <alignment horizontal="right"/>
    </xf>
    <xf numFmtId="164" fontId="1" fillId="0" borderId="13" xfId="3" applyNumberFormat="1" applyFont="1" applyBorder="1"/>
    <xf numFmtId="164" fontId="1" fillId="0" borderId="3" xfId="3" applyNumberFormat="1" applyFont="1" applyBorder="1"/>
    <xf numFmtId="164" fontId="1" fillId="0" borderId="4" xfId="3" applyNumberFormat="1" applyFont="1" applyBorder="1"/>
    <xf numFmtId="164" fontId="1" fillId="0" borderId="5" xfId="3" applyNumberFormat="1" applyFont="1" applyBorder="1"/>
    <xf numFmtId="164" fontId="1" fillId="0" borderId="6" xfId="3" applyNumberFormat="1" applyFont="1" applyFill="1" applyBorder="1"/>
    <xf numFmtId="0" fontId="1" fillId="0" borderId="2" xfId="3" applyNumberFormat="1" applyFont="1" applyBorder="1"/>
    <xf numFmtId="0" fontId="1" fillId="0" borderId="1" xfId="3" applyFont="1" applyBorder="1"/>
    <xf numFmtId="3" fontId="1" fillId="0" borderId="1" xfId="3" applyNumberFormat="1" applyFont="1" applyBorder="1" applyAlignment="1">
      <alignment horizontal="center"/>
    </xf>
    <xf numFmtId="3" fontId="1" fillId="0" borderId="1" xfId="3" applyNumberFormat="1" applyFont="1" applyBorder="1"/>
    <xf numFmtId="3" fontId="1" fillId="0" borderId="7" xfId="3" applyNumberFormat="1" applyFont="1" applyBorder="1"/>
    <xf numFmtId="164" fontId="1" fillId="0" borderId="6" xfId="3" applyNumberFormat="1" applyFont="1" applyBorder="1" applyAlignment="1">
      <alignment horizontal="right"/>
    </xf>
    <xf numFmtId="164" fontId="1" fillId="0" borderId="1" xfId="3" applyNumberFormat="1" applyFont="1" applyBorder="1" applyAlignment="1">
      <alignment horizontal="right"/>
    </xf>
    <xf numFmtId="0" fontId="1" fillId="0" borderId="1" xfId="3" applyFont="1" applyBorder="1" applyAlignment="1">
      <alignment horizontal="right"/>
    </xf>
    <xf numFmtId="164" fontId="1" fillId="0" borderId="8" xfId="3" applyNumberFormat="1" applyFont="1" applyBorder="1"/>
    <xf numFmtId="164" fontId="1" fillId="0" borderId="7" xfId="3" applyNumberFormat="1" applyFont="1" applyBorder="1"/>
    <xf numFmtId="164" fontId="1" fillId="0" borderId="0" xfId="3" applyNumberFormat="1" applyFont="1" applyFill="1"/>
    <xf numFmtId="0" fontId="1" fillId="0" borderId="0" xfId="3" applyFont="1" applyAlignment="1">
      <alignment horizontal="right"/>
    </xf>
    <xf numFmtId="164" fontId="1" fillId="0" borderId="9" xfId="3" applyNumberFormat="1" applyFont="1" applyBorder="1"/>
    <xf numFmtId="164" fontId="1" fillId="0" borderId="10" xfId="3" applyNumberFormat="1" applyFont="1" applyFill="1" applyBorder="1"/>
    <xf numFmtId="164" fontId="1" fillId="0" borderId="11" xfId="3" applyNumberFormat="1" applyFont="1" applyFill="1" applyBorder="1"/>
    <xf numFmtId="164" fontId="1" fillId="0" borderId="12" xfId="3" applyNumberFormat="1" applyFont="1" applyFill="1" applyBorder="1"/>
    <xf numFmtId="164" fontId="1" fillId="0" borderId="13" xfId="3" applyNumberFormat="1" applyFont="1" applyFill="1" applyBorder="1"/>
    <xf numFmtId="164" fontId="1" fillId="0" borderId="14" xfId="3" applyNumberFormat="1" applyFont="1" applyBorder="1"/>
    <xf numFmtId="164" fontId="1" fillId="0" borderId="18" xfId="3" applyNumberFormat="1" applyFont="1" applyBorder="1"/>
    <xf numFmtId="164" fontId="1" fillId="0" borderId="17" xfId="3" applyNumberFormat="1" applyFont="1" applyBorder="1"/>
    <xf numFmtId="164" fontId="1" fillId="0" borderId="18" xfId="3" applyNumberFormat="1" applyFont="1" applyFill="1" applyBorder="1"/>
    <xf numFmtId="3" fontId="1" fillId="0" borderId="14" xfId="3" applyNumberFormat="1" applyFont="1" applyBorder="1"/>
    <xf numFmtId="0" fontId="1" fillId="0" borderId="15" xfId="3" applyNumberFormat="1" applyFont="1" applyBorder="1"/>
    <xf numFmtId="3" fontId="1" fillId="0" borderId="16" xfId="3" applyNumberFormat="1" applyFont="1" applyBorder="1"/>
    <xf numFmtId="3" fontId="1" fillId="0" borderId="17" xfId="3" applyNumberFormat="1" applyFont="1" applyBorder="1"/>
    <xf numFmtId="2" fontId="1" fillId="0" borderId="0" xfId="3" applyNumberFormat="1" applyFont="1"/>
    <xf numFmtId="3" fontId="1" fillId="0" borderId="0" xfId="3" applyNumberFormat="1" applyFont="1" applyAlignment="1">
      <alignment horizontal="right"/>
    </xf>
    <xf numFmtId="3" fontId="1" fillId="0" borderId="3" xfId="3" applyNumberFormat="1" applyFont="1" applyBorder="1" applyAlignment="1">
      <alignment horizontal="right"/>
    </xf>
    <xf numFmtId="10" fontId="1" fillId="0" borderId="0" xfId="4" applyNumberFormat="1" applyFont="1"/>
    <xf numFmtId="9" fontId="1" fillId="0" borderId="0" xfId="3" applyNumberFormat="1" applyFont="1"/>
    <xf numFmtId="165" fontId="1" fillId="0" borderId="0" xfId="3" applyNumberFormat="1" applyFont="1"/>
    <xf numFmtId="166" fontId="1" fillId="0" borderId="0" xfId="3" applyNumberFormat="1" applyFont="1" applyBorder="1"/>
    <xf numFmtId="165" fontId="1" fillId="0" borderId="0" xfId="3" applyNumberFormat="1" applyFont="1" applyBorder="1"/>
    <xf numFmtId="3" fontId="1" fillId="0" borderId="21" xfId="3" applyNumberFormat="1" applyFont="1" applyFill="1" applyBorder="1" applyAlignment="1">
      <alignment horizontal="right"/>
    </xf>
    <xf numFmtId="0" fontId="1" fillId="0" borderId="21" xfId="3" applyFont="1" applyBorder="1" applyAlignment="1">
      <alignment horizontal="right"/>
    </xf>
    <xf numFmtId="3" fontId="1" fillId="0" borderId="11" xfId="3" applyNumberFormat="1" applyFont="1" applyBorder="1"/>
    <xf numFmtId="0" fontId="1" fillId="0" borderId="0" xfId="2" applyFont="1"/>
    <xf numFmtId="0" fontId="1" fillId="0" borderId="4" xfId="3" applyFont="1" applyFill="1" applyBorder="1" applyAlignment="1">
      <alignment horizontal="right"/>
    </xf>
    <xf numFmtId="3" fontId="1" fillId="0" borderId="4" xfId="3" applyNumberFormat="1" applyFont="1" applyFill="1" applyBorder="1" applyAlignment="1">
      <alignment horizontal="right"/>
    </xf>
    <xf numFmtId="3" fontId="1" fillId="0" borderId="3" xfId="3" applyNumberFormat="1" applyFont="1" applyFill="1" applyBorder="1" applyAlignment="1">
      <alignment horizontal="right"/>
    </xf>
    <xf numFmtId="3" fontId="1" fillId="0" borderId="1" xfId="3" applyNumberFormat="1" applyFont="1" applyFill="1" applyBorder="1" applyAlignment="1">
      <alignment horizontal="right"/>
    </xf>
    <xf numFmtId="0" fontId="1" fillId="0" borderId="1" xfId="3" applyNumberFormat="1" applyFont="1" applyFill="1" applyBorder="1" applyAlignment="1">
      <alignment horizontal="left"/>
    </xf>
    <xf numFmtId="0" fontId="1" fillId="0" borderId="4" xfId="3" applyFont="1" applyBorder="1" applyAlignment="1">
      <alignment horizontal="right"/>
    </xf>
    <xf numFmtId="3" fontId="1" fillId="0" borderId="12" xfId="3" applyNumberFormat="1" applyFont="1" applyBorder="1"/>
    <xf numFmtId="3" fontId="1" fillId="0" borderId="24" xfId="3" applyNumberFormat="1" applyFont="1" applyFill="1" applyBorder="1"/>
    <xf numFmtId="167" fontId="1" fillId="0" borderId="23" xfId="1" applyNumberFormat="1" applyFont="1" applyFill="1" applyBorder="1"/>
    <xf numFmtId="167" fontId="1" fillId="0" borderId="21" xfId="1" applyNumberFormat="1" applyFont="1" applyFill="1" applyBorder="1"/>
    <xf numFmtId="167" fontId="1" fillId="0" borderId="14" xfId="1" applyNumberFormat="1" applyFont="1" applyFill="1" applyBorder="1"/>
    <xf numFmtId="0" fontId="1" fillId="0" borderId="24" xfId="3" applyFont="1" applyBorder="1"/>
    <xf numFmtId="0" fontId="1" fillId="0" borderId="0" xfId="3" applyFont="1" applyBorder="1"/>
    <xf numFmtId="3" fontId="1" fillId="0" borderId="4" xfId="3" applyNumberFormat="1" applyFont="1" applyFill="1" applyBorder="1"/>
    <xf numFmtId="167" fontId="1" fillId="0" borderId="24" xfId="1" applyNumberFormat="1" applyFont="1" applyFill="1" applyBorder="1"/>
    <xf numFmtId="3" fontId="1" fillId="2" borderId="1" xfId="3" applyNumberFormat="1" applyFont="1" applyFill="1" applyBorder="1"/>
    <xf numFmtId="3" fontId="1" fillId="2" borderId="9" xfId="3" applyNumberFormat="1" applyFont="1" applyFill="1" applyBorder="1"/>
    <xf numFmtId="3" fontId="1" fillId="0" borderId="26" xfId="3" applyNumberFormat="1" applyFont="1" applyBorder="1"/>
    <xf numFmtId="3" fontId="1" fillId="0" borderId="0" xfId="3" applyNumberFormat="1" applyFont="1" applyFill="1" applyBorder="1"/>
    <xf numFmtId="167" fontId="1" fillId="0" borderId="0" xfId="1" applyNumberFormat="1" applyFont="1"/>
    <xf numFmtId="3" fontId="1" fillId="0" borderId="0" xfId="3" applyNumberFormat="1" applyFont="1" applyFill="1" applyBorder="1" applyAlignment="1">
      <alignment horizontal="right"/>
    </xf>
    <xf numFmtId="3" fontId="1" fillId="0" borderId="8" xfId="3" applyNumberFormat="1" applyFont="1" applyBorder="1"/>
    <xf numFmtId="164" fontId="1" fillId="0" borderId="0" xfId="3" applyNumberFormat="1" applyFont="1" applyBorder="1"/>
    <xf numFmtId="0" fontId="1" fillId="0" borderId="0" xfId="3" applyNumberFormat="1" applyFont="1" applyBorder="1"/>
    <xf numFmtId="2" fontId="1" fillId="0" borderId="0" xfId="3" applyNumberFormat="1" applyFont="1" applyBorder="1"/>
    <xf numFmtId="3" fontId="1" fillId="0" borderId="9" xfId="3" applyNumberFormat="1" applyFont="1" applyBorder="1"/>
    <xf numFmtId="3" fontId="1" fillId="0" borderId="8" xfId="3" applyNumberFormat="1" applyFont="1" applyBorder="1" applyAlignment="1">
      <alignment horizontal="right"/>
    </xf>
    <xf numFmtId="3" fontId="1" fillId="0" borderId="6" xfId="3" applyNumberFormat="1" applyFont="1" applyBorder="1" applyAlignment="1">
      <alignment horizontal="right"/>
    </xf>
    <xf numFmtId="0" fontId="1" fillId="0" borderId="0" xfId="3" applyNumberFormat="1" applyFont="1"/>
    <xf numFmtId="166" fontId="1" fillId="0" borderId="0" xfId="3" applyNumberFormat="1" applyFont="1"/>
    <xf numFmtId="0" fontId="1" fillId="0" borderId="3" xfId="3" applyNumberFormat="1" applyFont="1" applyBorder="1"/>
    <xf numFmtId="1" fontId="1" fillId="0" borderId="3" xfId="3" applyNumberFormat="1" applyFont="1" applyBorder="1"/>
    <xf numFmtId="3" fontId="1" fillId="0" borderId="20" xfId="3" applyNumberFormat="1" applyFont="1" applyBorder="1"/>
    <xf numFmtId="0" fontId="1" fillId="0" borderId="20" xfId="3" applyFont="1" applyBorder="1"/>
    <xf numFmtId="168" fontId="1" fillId="0" borderId="20" xfId="3" applyNumberFormat="1" applyFont="1" applyBorder="1"/>
    <xf numFmtId="168" fontId="1" fillId="0" borderId="0" xfId="3" applyNumberFormat="1" applyFont="1" applyBorder="1"/>
    <xf numFmtId="2" fontId="1" fillId="0" borderId="8" xfId="3" applyNumberFormat="1" applyFont="1" applyBorder="1"/>
    <xf numFmtId="0" fontId="1" fillId="0" borderId="8" xfId="3" applyNumberFormat="1" applyFont="1" applyBorder="1"/>
    <xf numFmtId="0" fontId="1" fillId="0" borderId="8" xfId="3" applyNumberFormat="1" applyFont="1" applyBorder="1" applyAlignment="1">
      <alignment horizontal="right"/>
    </xf>
    <xf numFmtId="2" fontId="1" fillId="0" borderId="8" xfId="3" applyNumberFormat="1" applyFont="1" applyBorder="1" applyAlignment="1">
      <alignment horizontal="center"/>
    </xf>
    <xf numFmtId="3" fontId="1" fillId="0" borderId="8" xfId="3" applyNumberFormat="1" applyFont="1" applyBorder="1" applyAlignment="1">
      <alignment horizontal="center"/>
    </xf>
    <xf numFmtId="1" fontId="1" fillId="0" borderId="0" xfId="3" applyNumberFormat="1" applyFont="1" applyBorder="1"/>
    <xf numFmtId="0" fontId="1" fillId="0" borderId="3" xfId="3" applyFont="1" applyBorder="1"/>
    <xf numFmtId="2" fontId="1" fillId="0" borderId="3" xfId="3" applyNumberFormat="1" applyFont="1" applyBorder="1"/>
    <xf numFmtId="168" fontId="1" fillId="0" borderId="3" xfId="3" applyNumberFormat="1" applyFont="1" applyBorder="1"/>
    <xf numFmtId="1" fontId="1" fillId="0" borderId="0" xfId="3" applyNumberFormat="1" applyFont="1" applyBorder="1" applyAlignment="1">
      <alignment horizontal="right"/>
    </xf>
    <xf numFmtId="1" fontId="1" fillId="0" borderId="0" xfId="3" applyNumberFormat="1" applyFont="1"/>
    <xf numFmtId="0" fontId="1" fillId="0" borderId="20" xfId="3" applyNumberFormat="1" applyFont="1" applyBorder="1"/>
    <xf numFmtId="1" fontId="1" fillId="0" borderId="20" xfId="3" applyNumberFormat="1" applyFont="1" applyBorder="1"/>
    <xf numFmtId="1" fontId="1" fillId="0" borderId="8" xfId="3" applyNumberFormat="1" applyFont="1" applyBorder="1"/>
    <xf numFmtId="0" fontId="1" fillId="0" borderId="0" xfId="3" quotePrefix="1" applyNumberFormat="1" applyFont="1" applyAlignment="1">
      <alignment horizontal="center"/>
    </xf>
    <xf numFmtId="0" fontId="1" fillId="0" borderId="21" xfId="3" quotePrefix="1" applyNumberFormat="1" applyFont="1" applyBorder="1" applyAlignment="1">
      <alignment horizontal="center"/>
    </xf>
    <xf numFmtId="3" fontId="1" fillId="0" borderId="21" xfId="3" applyNumberFormat="1" applyFont="1" applyBorder="1"/>
    <xf numFmtId="0" fontId="1" fillId="0" borderId="4" xfId="3" applyFont="1" applyBorder="1" applyAlignment="1">
      <alignment horizontal="center"/>
    </xf>
    <xf numFmtId="0" fontId="1" fillId="0" borderId="4" xfId="3" applyFont="1" applyBorder="1"/>
    <xf numFmtId="3" fontId="1" fillId="0" borderId="22" xfId="3" applyNumberFormat="1" applyFont="1" applyBorder="1" applyAlignment="1">
      <alignment horizontal="right"/>
    </xf>
    <xf numFmtId="3" fontId="1" fillId="0" borderId="13" xfId="3" applyNumberFormat="1" applyFont="1" applyBorder="1" applyAlignment="1">
      <alignment horizontal="right"/>
    </xf>
    <xf numFmtId="3" fontId="1" fillId="0" borderId="1" xfId="3" applyNumberFormat="1" applyFont="1" applyBorder="1" applyAlignment="1">
      <alignment horizontal="right"/>
    </xf>
    <xf numFmtId="0" fontId="1" fillId="0" borderId="24" xfId="3" quotePrefix="1" applyNumberFormat="1" applyFont="1" applyBorder="1" applyAlignment="1">
      <alignment horizontal="center"/>
    </xf>
    <xf numFmtId="3" fontId="1" fillId="0" borderId="24" xfId="3" applyNumberFormat="1" applyFont="1" applyBorder="1"/>
    <xf numFmtId="164" fontId="1" fillId="3" borderId="14" xfId="3" applyNumberFormat="1" applyFont="1" applyFill="1" applyBorder="1"/>
    <xf numFmtId="164" fontId="1" fillId="0" borderId="14" xfId="3" applyNumberFormat="1" applyFont="1" applyFill="1" applyBorder="1"/>
    <xf numFmtId="164" fontId="1" fillId="0" borderId="0" xfId="3" applyNumberFormat="1" applyFont="1"/>
    <xf numFmtId="164" fontId="1" fillId="0" borderId="24" xfId="3" applyNumberFormat="1" applyFont="1" applyBorder="1"/>
    <xf numFmtId="164" fontId="1" fillId="0" borderId="23" xfId="3" applyNumberFormat="1" applyFont="1" applyBorder="1"/>
    <xf numFmtId="0" fontId="1" fillId="0" borderId="4" xfId="3" quotePrefix="1" applyNumberFormat="1" applyFont="1" applyBorder="1" applyAlignment="1">
      <alignment horizontal="center"/>
    </xf>
    <xf numFmtId="3" fontId="1" fillId="0" borderId="4" xfId="3" applyNumberFormat="1" applyFont="1" applyBorder="1"/>
    <xf numFmtId="164" fontId="1" fillId="0" borderId="22" xfId="3" applyNumberFormat="1" applyFont="1" applyBorder="1"/>
    <xf numFmtId="164" fontId="1" fillId="0" borderId="20" xfId="3" applyNumberFormat="1" applyFont="1" applyBorder="1"/>
    <xf numFmtId="164" fontId="1" fillId="0" borderId="6" xfId="3" applyNumberFormat="1" applyFont="1" applyBorder="1"/>
    <xf numFmtId="164" fontId="1" fillId="0" borderId="1" xfId="3" applyNumberFormat="1" applyFont="1" applyBorder="1"/>
    <xf numFmtId="0" fontId="1" fillId="0" borderId="0" xfId="3" applyFont="1" applyAlignment="1">
      <alignment horizontal="center"/>
    </xf>
    <xf numFmtId="164" fontId="1" fillId="0" borderId="0" xfId="3" applyNumberFormat="1" applyFont="1" applyAlignment="1">
      <alignment horizontal="right"/>
    </xf>
    <xf numFmtId="3" fontId="1" fillId="0" borderId="0" xfId="3" applyNumberFormat="1" applyFont="1" applyAlignment="1">
      <alignment horizontal="center"/>
    </xf>
    <xf numFmtId="0" fontId="6" fillId="0" borderId="0" xfId="0" applyFont="1"/>
    <xf numFmtId="3" fontId="1" fillId="0" borderId="0" xfId="3" applyNumberFormat="1" applyFont="1" applyBorder="1" applyAlignment="1">
      <alignment horizontal="center"/>
    </xf>
    <xf numFmtId="0" fontId="1" fillId="0" borderId="0" xfId="3" applyFont="1" applyBorder="1" applyAlignment="1">
      <alignment horizontal="right"/>
    </xf>
    <xf numFmtId="164" fontId="1" fillId="0" borderId="3" xfId="3" applyNumberFormat="1" applyFont="1" applyBorder="1" applyAlignment="1">
      <alignment horizontal="right"/>
    </xf>
    <xf numFmtId="164" fontId="1" fillId="0" borderId="8" xfId="3" applyNumberFormat="1" applyFont="1" applyBorder="1" applyAlignment="1">
      <alignment horizontal="right"/>
    </xf>
    <xf numFmtId="164" fontId="1" fillId="0" borderId="21" xfId="3" applyNumberFormat="1" applyFont="1" applyBorder="1" applyAlignment="1">
      <alignment horizontal="right"/>
    </xf>
    <xf numFmtId="164" fontId="1" fillId="0" borderId="20" xfId="3" applyNumberFormat="1" applyFont="1" applyBorder="1" applyAlignment="1">
      <alignment horizontal="right"/>
    </xf>
    <xf numFmtId="164" fontId="1" fillId="0" borderId="33" xfId="3" applyNumberFormat="1" applyFont="1" applyBorder="1" applyAlignment="1">
      <alignment horizontal="right"/>
    </xf>
    <xf numFmtId="9" fontId="7" fillId="0" borderId="0" xfId="4" applyFont="1"/>
    <xf numFmtId="165" fontId="1" fillId="0" borderId="8" xfId="3" applyNumberFormat="1" applyFont="1" applyBorder="1"/>
    <xf numFmtId="3" fontId="1" fillId="4" borderId="24" xfId="3" applyNumberFormat="1" applyFont="1" applyFill="1" applyBorder="1"/>
    <xf numFmtId="4" fontId="1" fillId="4" borderId="23" xfId="3" applyNumberFormat="1" applyFont="1" applyFill="1" applyBorder="1"/>
    <xf numFmtId="2" fontId="1" fillId="4" borderId="21" xfId="3" applyNumberFormat="1" applyFont="1" applyFill="1" applyBorder="1"/>
    <xf numFmtId="3" fontId="1" fillId="4" borderId="4" xfId="3" applyNumberFormat="1" applyFont="1" applyFill="1" applyBorder="1"/>
    <xf numFmtId="4" fontId="1" fillId="4" borderId="22" xfId="3" applyNumberFormat="1" applyFont="1" applyFill="1" applyBorder="1"/>
    <xf numFmtId="2" fontId="1" fillId="4" borderId="4" xfId="3" applyNumberFormat="1" applyFont="1" applyFill="1" applyBorder="1"/>
    <xf numFmtId="3" fontId="1" fillId="4" borderId="0" xfId="3" applyNumberFormat="1" applyFont="1" applyFill="1" applyBorder="1"/>
    <xf numFmtId="166" fontId="1" fillId="4" borderId="0" xfId="3" applyNumberFormat="1" applyFont="1" applyFill="1" applyBorder="1"/>
    <xf numFmtId="165" fontId="7" fillId="0" borderId="0" xfId="3" applyNumberFormat="1" applyFont="1"/>
    <xf numFmtId="0" fontId="1" fillId="0" borderId="1" xfId="3" applyNumberFormat="1" applyFont="1" applyFill="1" applyBorder="1" applyAlignment="1">
      <alignment horizontal="right"/>
    </xf>
    <xf numFmtId="9" fontId="1" fillId="0" borderId="0" xfId="5" applyFont="1"/>
    <xf numFmtId="4" fontId="1" fillId="0" borderId="0" xfId="4" applyNumberFormat="1" applyFont="1"/>
    <xf numFmtId="165" fontId="1" fillId="0" borderId="3" xfId="3" applyNumberFormat="1" applyFont="1" applyBorder="1"/>
    <xf numFmtId="164" fontId="1" fillId="4" borderId="23" xfId="3" applyNumberFormat="1" applyFont="1" applyFill="1" applyBorder="1"/>
    <xf numFmtId="164" fontId="1" fillId="4" borderId="14" xfId="3" applyNumberFormat="1" applyFont="1" applyFill="1" applyBorder="1"/>
    <xf numFmtId="164" fontId="1" fillId="4" borderId="0" xfId="3" applyNumberFormat="1" applyFont="1" applyFill="1" applyBorder="1"/>
    <xf numFmtId="164" fontId="1" fillId="4" borderId="3" xfId="3" applyNumberFormat="1" applyFont="1" applyFill="1" applyBorder="1"/>
    <xf numFmtId="164" fontId="1" fillId="4" borderId="13" xfId="3" applyNumberFormat="1" applyFont="1" applyFill="1" applyBorder="1"/>
    <xf numFmtId="0" fontId="1" fillId="0" borderId="20" xfId="3" quotePrefix="1" applyFont="1" applyBorder="1" applyAlignment="1">
      <alignment horizontal="center"/>
    </xf>
    <xf numFmtId="0" fontId="1" fillId="0" borderId="3" xfId="3" applyFont="1" applyBorder="1" applyAlignment="1">
      <alignment horizontal="center"/>
    </xf>
    <xf numFmtId="0" fontId="1" fillId="0" borderId="9" xfId="3" applyFont="1" applyBorder="1"/>
    <xf numFmtId="0" fontId="1" fillId="0" borderId="8" xfId="3" applyFont="1" applyBorder="1"/>
    <xf numFmtId="4" fontId="1" fillId="0" borderId="6" xfId="3" applyNumberFormat="1" applyFont="1" applyBorder="1"/>
    <xf numFmtId="0" fontId="1" fillId="0" borderId="6" xfId="3" applyFont="1" applyBorder="1"/>
    <xf numFmtId="3" fontId="3" fillId="0" borderId="8" xfId="3" applyNumberFormat="1" applyFont="1" applyBorder="1"/>
    <xf numFmtId="0" fontId="1" fillId="5" borderId="21" xfId="3" applyNumberFormat="1" applyFont="1" applyFill="1" applyBorder="1" applyAlignment="1">
      <alignment horizontal="center"/>
    </xf>
    <xf numFmtId="0" fontId="6" fillId="5" borderId="21" xfId="0" applyFont="1" applyFill="1" applyBorder="1"/>
    <xf numFmtId="3" fontId="1" fillId="5" borderId="21" xfId="3" applyNumberFormat="1" applyFont="1" applyFill="1" applyBorder="1" applyAlignment="1">
      <alignment horizontal="center"/>
    </xf>
    <xf numFmtId="3" fontId="1" fillId="5" borderId="21" xfId="3" applyNumberFormat="1" applyFont="1" applyFill="1" applyBorder="1"/>
    <xf numFmtId="0" fontId="1" fillId="5" borderId="22" xfId="3" applyNumberFormat="1" applyFont="1" applyFill="1" applyBorder="1" applyAlignment="1">
      <alignment horizontal="center"/>
    </xf>
    <xf numFmtId="3" fontId="1" fillId="5" borderId="4" xfId="3" applyNumberFormat="1" applyFont="1" applyFill="1" applyBorder="1" applyAlignment="1">
      <alignment horizontal="center"/>
    </xf>
    <xf numFmtId="3" fontId="1" fillId="5" borderId="6" xfId="3" applyNumberFormat="1" applyFont="1" applyFill="1" applyBorder="1" applyAlignment="1">
      <alignment horizontal="center"/>
    </xf>
    <xf numFmtId="3" fontId="1" fillId="5" borderId="1" xfId="3" applyNumberFormat="1" applyFont="1" applyFill="1" applyBorder="1" applyAlignment="1">
      <alignment horizontal="center"/>
    </xf>
    <xf numFmtId="3" fontId="1" fillId="5" borderId="22" xfId="3" applyNumberFormat="1" applyFont="1" applyFill="1" applyBorder="1" applyAlignment="1">
      <alignment horizontal="center"/>
    </xf>
    <xf numFmtId="3" fontId="1" fillId="5" borderId="13" xfId="3" applyNumberFormat="1" applyFont="1" applyFill="1" applyBorder="1" applyAlignment="1">
      <alignment horizontal="center"/>
    </xf>
    <xf numFmtId="0" fontId="1" fillId="4" borderId="22" xfId="3" applyNumberFormat="1" applyFont="1" applyFill="1" applyBorder="1" applyAlignment="1">
      <alignment horizontal="center"/>
    </xf>
    <xf numFmtId="0" fontId="1" fillId="4" borderId="9" xfId="3" applyNumberFormat="1" applyFont="1" applyFill="1" applyBorder="1" applyAlignment="1">
      <alignment horizontal="center"/>
    </xf>
    <xf numFmtId="3" fontId="1" fillId="4" borderId="1" xfId="3" applyNumberFormat="1" applyFont="1" applyFill="1" applyBorder="1"/>
    <xf numFmtId="164" fontId="1" fillId="4" borderId="8" xfId="3" applyNumberFormat="1" applyFont="1" applyFill="1" applyBorder="1"/>
    <xf numFmtId="0" fontId="1" fillId="4" borderId="27" xfId="3" applyNumberFormat="1" applyFont="1" applyFill="1" applyBorder="1" applyAlignment="1">
      <alignment horizontal="center"/>
    </xf>
    <xf numFmtId="3" fontId="1" fillId="4" borderId="21" xfId="3" applyNumberFormat="1" applyFont="1" applyFill="1" applyBorder="1"/>
    <xf numFmtId="164" fontId="1" fillId="4" borderId="20" xfId="3" applyNumberFormat="1" applyFont="1" applyFill="1" applyBorder="1"/>
    <xf numFmtId="0" fontId="1" fillId="5" borderId="21" xfId="0" applyFont="1" applyFill="1" applyBorder="1" applyAlignment="1">
      <alignment horizontal="center"/>
    </xf>
    <xf numFmtId="3" fontId="1" fillId="0" borderId="19" xfId="3" applyNumberFormat="1" applyFont="1" applyBorder="1" applyAlignment="1">
      <alignment horizontal="center"/>
    </xf>
    <xf numFmtId="3" fontId="1" fillId="5" borderId="9" xfId="3" applyNumberFormat="1" applyFont="1" applyFill="1" applyBorder="1" applyAlignment="1">
      <alignment horizontal="center"/>
    </xf>
    <xf numFmtId="3" fontId="1" fillId="5" borderId="8" xfId="3" applyNumberFormat="1" applyFont="1" applyFill="1" applyBorder="1" applyAlignment="1">
      <alignment horizontal="center"/>
    </xf>
    <xf numFmtId="3" fontId="1" fillId="5" borderId="6" xfId="3" applyNumberFormat="1" applyFont="1" applyFill="1" applyBorder="1" applyAlignment="1">
      <alignment horizontal="center"/>
    </xf>
    <xf numFmtId="3" fontId="1" fillId="0" borderId="9" xfId="3" applyNumberFormat="1" applyFont="1" applyFill="1" applyBorder="1" applyAlignment="1">
      <alignment horizontal="center"/>
    </xf>
    <xf numFmtId="3" fontId="1" fillId="0" borderId="8" xfId="3" applyNumberFormat="1" applyFont="1" applyFill="1" applyBorder="1" applyAlignment="1">
      <alignment horizontal="center"/>
    </xf>
    <xf numFmtId="3" fontId="1" fillId="0" borderId="6" xfId="3" applyNumberFormat="1" applyFont="1" applyFill="1" applyBorder="1" applyAlignment="1">
      <alignment horizontal="center"/>
    </xf>
    <xf numFmtId="3" fontId="1" fillId="0" borderId="9" xfId="3" applyNumberFormat="1" applyFont="1" applyBorder="1" applyAlignment="1">
      <alignment horizontal="center"/>
    </xf>
    <xf numFmtId="3" fontId="1" fillId="0" borderId="6" xfId="3" applyNumberFormat="1" applyFont="1" applyBorder="1" applyAlignment="1">
      <alignment horizontal="center"/>
    </xf>
    <xf numFmtId="3" fontId="1" fillId="0" borderId="8" xfId="3" applyNumberFormat="1" applyFont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1" fillId="5" borderId="4" xfId="3" applyFont="1" applyFill="1" applyBorder="1" applyAlignment="1">
      <alignment horizontal="center"/>
    </xf>
    <xf numFmtId="3" fontId="1" fillId="5" borderId="1" xfId="3" applyNumberFormat="1" applyFont="1" applyFill="1" applyBorder="1" applyAlignment="1">
      <alignment horizontal="right"/>
    </xf>
    <xf numFmtId="0" fontId="8" fillId="0" borderId="1" xfId="0" applyFont="1" applyBorder="1"/>
    <xf numFmtId="3" fontId="1" fillId="0" borderId="1" xfId="3" applyNumberFormat="1" applyFont="1" applyFill="1" applyBorder="1"/>
    <xf numFmtId="3" fontId="1" fillId="0" borderId="0" xfId="1" applyNumberFormat="1" applyFont="1"/>
  </cellXfs>
  <cellStyles count="6">
    <cellStyle name="Comma 2" xfId="1"/>
    <cellStyle name="Normal" xfId="0" builtinId="0"/>
    <cellStyle name="Normal 2" xfId="2"/>
    <cellStyle name="Normal_Utsatt skatt 24" xfId="3"/>
    <cellStyle name="Percent" xfId="5" builtinId="5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H68"/>
  <sheetViews>
    <sheetView showGridLines="0" showZeros="0" workbookViewId="0">
      <selection activeCell="C5" sqref="C5"/>
    </sheetView>
  </sheetViews>
  <sheetFormatPr defaultColWidth="9.1640625" defaultRowHeight="12.9" x14ac:dyDescent="0.35"/>
  <cols>
    <col min="1" max="1" width="3.4140625" style="29" customWidth="1"/>
    <col min="2" max="2" width="6.25" style="146" customWidth="1"/>
    <col min="3" max="3" width="21.83203125" style="29" customWidth="1"/>
    <col min="4" max="4" width="8.83203125" style="29" customWidth="1"/>
    <col min="5" max="5" width="8.75" style="29" customWidth="1"/>
    <col min="6" max="6" width="7.83203125" style="29" customWidth="1"/>
    <col min="7" max="7" width="7.75" style="29" customWidth="1"/>
    <col min="8" max="8" width="8.1640625" style="29" customWidth="1"/>
    <col min="9" max="9" width="8.75" style="29" customWidth="1"/>
    <col min="10" max="10" width="10.75" style="29" customWidth="1"/>
    <col min="11" max="11" width="7.4140625" style="29" customWidth="1"/>
    <col min="12" max="12" width="10" style="29" customWidth="1"/>
    <col min="13" max="13" width="8" style="29" customWidth="1"/>
    <col min="14" max="14" width="7.25" style="49" customWidth="1"/>
    <col min="15" max="15" width="9.1640625" style="29" customWidth="1"/>
    <col min="16" max="16" width="8.1640625" style="29" customWidth="1"/>
    <col min="17" max="17" width="9.25" style="29" customWidth="1"/>
    <col min="18" max="18" width="6.75" style="29" hidden="1" customWidth="1"/>
    <col min="19" max="19" width="7.75" style="29" hidden="1" customWidth="1"/>
    <col min="20" max="20" width="25.75" style="29" hidden="1" customWidth="1"/>
    <col min="21" max="38" width="0" style="29" hidden="1" customWidth="1"/>
    <col min="39" max="40" width="9.1640625" style="29" customWidth="1"/>
    <col min="41" max="41" width="7.83203125" style="29" customWidth="1"/>
    <col min="42" max="42" width="20.4140625" style="29" customWidth="1"/>
    <col min="43" max="43" width="8.4140625" style="29" customWidth="1"/>
    <col min="44" max="16384" width="9.1640625" style="29"/>
  </cols>
  <sheetData>
    <row r="2" spans="2:34" ht="13.3" thickBot="1" x14ac:dyDescent="0.4">
      <c r="B2" s="149" t="s">
        <v>147</v>
      </c>
      <c r="D2" s="25"/>
      <c r="E2" s="25"/>
      <c r="F2" s="25"/>
      <c r="G2" s="25"/>
      <c r="H2" s="25"/>
      <c r="I2" s="25"/>
      <c r="J2" s="25"/>
      <c r="K2" s="26"/>
      <c r="L2" s="27"/>
      <c r="M2" s="26"/>
      <c r="N2" s="28"/>
      <c r="O2" s="26"/>
      <c r="P2" s="26"/>
      <c r="Q2" s="25"/>
      <c r="R2" s="25"/>
      <c r="S2" s="202" t="str">
        <f>+B2</f>
        <v>Oppgave 16-21 Skjema</v>
      </c>
      <c r="T2" s="202"/>
      <c r="U2" s="25"/>
    </row>
    <row r="3" spans="2:34" x14ac:dyDescent="0.35">
      <c r="B3" s="149"/>
      <c r="D3" s="25"/>
      <c r="E3" s="25"/>
      <c r="F3" s="25"/>
      <c r="G3" s="25"/>
      <c r="H3" s="25"/>
      <c r="I3" s="25"/>
      <c r="J3" s="25"/>
      <c r="K3" s="26"/>
      <c r="L3" s="27"/>
      <c r="M3" s="26"/>
      <c r="N3" s="28"/>
      <c r="O3" s="26"/>
      <c r="P3" s="26"/>
      <c r="Q3" s="25"/>
      <c r="R3" s="25"/>
      <c r="S3" s="150"/>
      <c r="T3" s="150"/>
      <c r="U3" s="25"/>
    </row>
    <row r="4" spans="2:34" ht="14.25" customHeight="1" thickBot="1" x14ac:dyDescent="0.4">
      <c r="B4" s="184" t="s">
        <v>0</v>
      </c>
      <c r="C4" s="201" t="s">
        <v>0</v>
      </c>
      <c r="D4" s="186" t="s">
        <v>139</v>
      </c>
      <c r="E4" s="203" t="s">
        <v>140</v>
      </c>
      <c r="F4" s="204"/>
      <c r="G4" s="204"/>
      <c r="H4" s="204"/>
      <c r="I4" s="204"/>
      <c r="J4" s="204"/>
      <c r="K4" s="204"/>
      <c r="L4" s="204"/>
      <c r="M4" s="204"/>
      <c r="N4" s="204"/>
      <c r="O4" s="186" t="s">
        <v>137</v>
      </c>
      <c r="P4" s="187"/>
      <c r="Q4" s="187"/>
      <c r="R4" s="25"/>
      <c r="S4" s="150"/>
      <c r="T4" s="150"/>
      <c r="U4" s="25"/>
    </row>
    <row r="5" spans="2:34" s="6" customFormat="1" x14ac:dyDescent="0.35">
      <c r="B5" s="188" t="s">
        <v>136</v>
      </c>
      <c r="C5" s="189"/>
      <c r="D5" s="189" t="s">
        <v>138</v>
      </c>
      <c r="E5" s="190">
        <v>1</v>
      </c>
      <c r="F5" s="191">
        <v>2</v>
      </c>
      <c r="G5" s="191">
        <v>3</v>
      </c>
      <c r="H5" s="191">
        <v>4</v>
      </c>
      <c r="I5" s="191">
        <v>5</v>
      </c>
      <c r="J5" s="191">
        <v>6</v>
      </c>
      <c r="K5" s="191">
        <v>7</v>
      </c>
      <c r="L5" s="191">
        <v>8</v>
      </c>
      <c r="M5" s="203">
        <v>9</v>
      </c>
      <c r="N5" s="205"/>
      <c r="O5" s="192" t="s">
        <v>138</v>
      </c>
      <c r="P5" s="189" t="s">
        <v>1</v>
      </c>
      <c r="Q5" s="193" t="s">
        <v>2</v>
      </c>
      <c r="R5" s="23" t="s">
        <v>84</v>
      </c>
      <c r="S5" s="14" t="s">
        <v>85</v>
      </c>
      <c r="T5" s="15" t="s">
        <v>86</v>
      </c>
      <c r="U5" s="14" t="s">
        <v>85</v>
      </c>
      <c r="V5" s="16" t="s">
        <v>87</v>
      </c>
      <c r="W5" s="17"/>
      <c r="X5" s="7"/>
      <c r="Y5" s="18" t="str">
        <f t="shared" ref="Y5:AA20" si="0">+B5</f>
        <v>nr</v>
      </c>
      <c r="Z5" s="18">
        <f t="shared" si="0"/>
        <v>0</v>
      </c>
      <c r="AA5" s="19" t="str">
        <f t="shared" si="0"/>
        <v>s.balanse</v>
      </c>
      <c r="AB5" s="20" t="e">
        <f>+#REF!</f>
        <v>#REF!</v>
      </c>
      <c r="AC5" s="20">
        <f>+K5</f>
        <v>7</v>
      </c>
      <c r="AD5" s="20">
        <f t="shared" ref="AD5:AH5" si="1">+M5</f>
        <v>9</v>
      </c>
      <c r="AE5" s="20">
        <f t="shared" si="1"/>
        <v>0</v>
      </c>
      <c r="AF5" s="20" t="str">
        <f t="shared" si="1"/>
        <v>s.balanse</v>
      </c>
      <c r="AG5" s="20" t="str">
        <f t="shared" si="1"/>
        <v>Resultat</v>
      </c>
      <c r="AH5" s="21" t="str">
        <f t="shared" si="1"/>
        <v>Balanse</v>
      </c>
    </row>
    <row r="6" spans="2:34" x14ac:dyDescent="0.35">
      <c r="B6" s="194">
        <v>1200</v>
      </c>
      <c r="C6" s="162" t="s">
        <v>3</v>
      </c>
      <c r="D6" s="175">
        <v>960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152"/>
      <c r="P6" s="32"/>
      <c r="Q6" s="31"/>
      <c r="R6" s="33" t="e">
        <f>+#REF!</f>
        <v>#REF!</v>
      </c>
      <c r="S6" s="34" t="e">
        <f>+Q6-R6</f>
        <v>#REF!</v>
      </c>
      <c r="T6" s="35"/>
      <c r="U6" s="2" t="e">
        <f>+#REF!</f>
        <v>#REF!</v>
      </c>
      <c r="V6" s="36" t="e">
        <f t="shared" ref="V6:V13" si="2">-U6+S6</f>
        <v>#REF!</v>
      </c>
      <c r="W6" s="37" t="e">
        <f t="shared" ref="W6:W18" si="3">+V6</f>
        <v>#REF!</v>
      </c>
      <c r="X6" s="25"/>
      <c r="Y6" s="38">
        <f t="shared" si="0"/>
        <v>1200</v>
      </c>
      <c r="Z6" s="38" t="str">
        <f t="shared" si="0"/>
        <v>Driftsmidler</v>
      </c>
      <c r="AA6" s="38">
        <f t="shared" si="0"/>
        <v>960</v>
      </c>
      <c r="AB6" s="39"/>
      <c r="AC6" s="3"/>
      <c r="AD6" s="40"/>
      <c r="AE6" s="40"/>
      <c r="AF6" s="41"/>
      <c r="AG6" s="41"/>
      <c r="AH6" s="42"/>
    </row>
    <row r="7" spans="2:34" x14ac:dyDescent="0.35">
      <c r="B7" s="195">
        <v>1390</v>
      </c>
      <c r="C7" s="196" t="s">
        <v>4</v>
      </c>
      <c r="D7" s="197">
        <v>54</v>
      </c>
      <c r="E7" s="44"/>
      <c r="F7" s="44"/>
      <c r="G7" s="44"/>
      <c r="H7" s="44"/>
      <c r="I7" s="44"/>
      <c r="J7" s="44"/>
      <c r="K7" s="45"/>
      <c r="L7" s="45"/>
      <c r="M7" s="44"/>
      <c r="N7" s="44"/>
      <c r="O7" s="153"/>
      <c r="P7" s="44"/>
      <c r="Q7" s="43"/>
      <c r="R7" s="33" t="e">
        <f>+#REF!/1000</f>
        <v>#REF!</v>
      </c>
      <c r="S7" s="46"/>
      <c r="T7" s="35"/>
      <c r="U7" s="2"/>
      <c r="V7" s="47">
        <f t="shared" si="2"/>
        <v>0</v>
      </c>
      <c r="W7" s="48">
        <f t="shared" si="3"/>
        <v>0</v>
      </c>
      <c r="X7" s="25"/>
      <c r="Y7" s="38">
        <f t="shared" si="0"/>
        <v>1390</v>
      </c>
      <c r="Z7" s="38" t="str">
        <f t="shared" si="0"/>
        <v>Langsiktig fordring</v>
      </c>
      <c r="AA7" s="38">
        <f t="shared" si="0"/>
        <v>54</v>
      </c>
      <c r="AB7" s="39"/>
      <c r="AC7" s="3"/>
      <c r="AD7" s="40"/>
      <c r="AE7" s="40"/>
      <c r="AF7" s="41"/>
      <c r="AG7" s="41"/>
      <c r="AH7" s="42"/>
    </row>
    <row r="8" spans="2:34" x14ac:dyDescent="0.35">
      <c r="B8" s="195">
        <v>1400</v>
      </c>
      <c r="C8" s="196" t="s">
        <v>5</v>
      </c>
      <c r="D8" s="197">
        <v>100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153"/>
      <c r="P8" s="44"/>
      <c r="Q8" s="43"/>
      <c r="R8" s="33" t="e">
        <f>+#REF!</f>
        <v>#REF!</v>
      </c>
      <c r="S8" s="46" t="e">
        <f t="shared" ref="S8:S13" si="4">+Q8-R8</f>
        <v>#REF!</v>
      </c>
      <c r="T8" s="35"/>
      <c r="U8" s="2" t="e">
        <f>+#REF!</f>
        <v>#REF!</v>
      </c>
      <c r="V8" s="47" t="e">
        <f t="shared" si="2"/>
        <v>#REF!</v>
      </c>
      <c r="W8" s="37" t="e">
        <f t="shared" si="3"/>
        <v>#REF!</v>
      </c>
      <c r="X8" s="25"/>
      <c r="Y8" s="38">
        <f t="shared" si="0"/>
        <v>1400</v>
      </c>
      <c r="Z8" s="38" t="str">
        <f t="shared" si="0"/>
        <v>Råvarer</v>
      </c>
      <c r="AA8" s="38">
        <f t="shared" si="0"/>
        <v>100</v>
      </c>
      <c r="AB8" s="40"/>
      <c r="AC8" s="40"/>
      <c r="AD8" s="40"/>
      <c r="AE8" s="40"/>
      <c r="AF8" s="41"/>
      <c r="AG8" s="41"/>
      <c r="AH8" s="42"/>
    </row>
    <row r="9" spans="2:34" x14ac:dyDescent="0.35">
      <c r="B9" s="195">
        <v>1440</v>
      </c>
      <c r="C9" s="196" t="s">
        <v>6</v>
      </c>
      <c r="D9" s="197">
        <v>350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153"/>
      <c r="P9" s="44"/>
      <c r="Q9" s="43"/>
      <c r="R9" s="33" t="e">
        <f>+#REF!</f>
        <v>#REF!</v>
      </c>
      <c r="S9" s="46" t="e">
        <f t="shared" si="4"/>
        <v>#REF!</v>
      </c>
      <c r="T9" s="35"/>
      <c r="U9" s="2" t="e">
        <f>+#REF!</f>
        <v>#REF!</v>
      </c>
      <c r="V9" s="47" t="e">
        <f t="shared" si="2"/>
        <v>#REF!</v>
      </c>
      <c r="W9" s="37" t="e">
        <f t="shared" si="3"/>
        <v>#REF!</v>
      </c>
      <c r="X9" s="25"/>
      <c r="Y9" s="38">
        <f t="shared" si="0"/>
        <v>1440</v>
      </c>
      <c r="Z9" s="38" t="str">
        <f t="shared" si="0"/>
        <v>Ferdige varer</v>
      </c>
      <c r="AA9" s="38">
        <f t="shared" si="0"/>
        <v>350</v>
      </c>
      <c r="AB9" s="40"/>
      <c r="AC9" s="40"/>
      <c r="AD9" s="40"/>
      <c r="AE9" s="40"/>
      <c r="AF9" s="41"/>
      <c r="AG9" s="41"/>
      <c r="AH9" s="42"/>
    </row>
    <row r="10" spans="2:34" x14ac:dyDescent="0.35">
      <c r="B10" s="195">
        <v>1500</v>
      </c>
      <c r="C10" s="196" t="s">
        <v>7</v>
      </c>
      <c r="D10" s="197">
        <v>300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153"/>
      <c r="P10" s="44"/>
      <c r="Q10" s="43"/>
      <c r="R10" s="33">
        <f>+Q10</f>
        <v>0</v>
      </c>
      <c r="S10" s="46">
        <f t="shared" si="4"/>
        <v>0</v>
      </c>
      <c r="T10" s="35"/>
      <c r="U10" s="35"/>
      <c r="V10" s="47">
        <f t="shared" si="2"/>
        <v>0</v>
      </c>
      <c r="W10" s="48">
        <f t="shared" si="3"/>
        <v>0</v>
      </c>
      <c r="X10" s="25"/>
      <c r="Y10" s="38">
        <f t="shared" si="0"/>
        <v>1500</v>
      </c>
      <c r="Z10" s="38" t="str">
        <f t="shared" si="0"/>
        <v>Kundefordringer</v>
      </c>
      <c r="AA10" s="38">
        <f t="shared" si="0"/>
        <v>300</v>
      </c>
      <c r="AB10" s="40"/>
      <c r="AC10" s="40"/>
      <c r="AD10" s="40"/>
      <c r="AE10" s="40"/>
      <c r="AF10" s="41"/>
      <c r="AG10" s="41"/>
      <c r="AH10" s="42"/>
    </row>
    <row r="11" spans="2:34" x14ac:dyDescent="0.35">
      <c r="B11" s="195">
        <v>1580</v>
      </c>
      <c r="C11" s="196" t="s">
        <v>8</v>
      </c>
      <c r="D11" s="197">
        <v>-12</v>
      </c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153"/>
      <c r="P11" s="44"/>
      <c r="Q11" s="43"/>
      <c r="R11" s="33" t="e">
        <f>+#REF!</f>
        <v>#REF!</v>
      </c>
      <c r="S11" s="46" t="e">
        <f t="shared" si="4"/>
        <v>#REF!</v>
      </c>
      <c r="T11" s="35"/>
      <c r="U11" s="2" t="e">
        <f>+#REF!</f>
        <v>#REF!</v>
      </c>
      <c r="V11" s="47" t="e">
        <f t="shared" si="2"/>
        <v>#REF!</v>
      </c>
      <c r="W11" s="37" t="e">
        <f t="shared" si="3"/>
        <v>#REF!</v>
      </c>
      <c r="X11" s="25"/>
      <c r="Y11" s="38">
        <f t="shared" si="0"/>
        <v>1580</v>
      </c>
      <c r="Z11" s="38" t="str">
        <f t="shared" si="0"/>
        <v>Avsetn. tap fordringer</v>
      </c>
      <c r="AA11" s="38">
        <f t="shared" si="0"/>
        <v>-12</v>
      </c>
      <c r="AB11" s="40"/>
      <c r="AC11" s="40"/>
      <c r="AD11" s="40"/>
      <c r="AE11" s="40"/>
      <c r="AF11" s="41"/>
      <c r="AG11" s="41"/>
      <c r="AH11" s="42"/>
    </row>
    <row r="12" spans="2:34" x14ac:dyDescent="0.35">
      <c r="B12" s="195">
        <v>1810</v>
      </c>
      <c r="C12" s="196" t="s">
        <v>9</v>
      </c>
      <c r="D12" s="197">
        <v>200</v>
      </c>
      <c r="E12" s="44"/>
      <c r="F12" s="44"/>
      <c r="G12" s="44"/>
      <c r="H12" s="151"/>
      <c r="I12" s="44"/>
      <c r="J12" s="44"/>
      <c r="K12" s="44"/>
      <c r="L12" s="44"/>
      <c r="M12" s="44"/>
      <c r="N12" s="44"/>
      <c r="O12" s="153"/>
      <c r="P12" s="44"/>
      <c r="Q12" s="43"/>
      <c r="R12" s="33"/>
      <c r="S12" s="46"/>
      <c r="T12" s="50"/>
      <c r="U12" s="4"/>
      <c r="V12" s="47"/>
      <c r="W12" s="37">
        <f t="shared" si="3"/>
        <v>0</v>
      </c>
      <c r="X12" s="25"/>
      <c r="Y12" s="38">
        <f t="shared" si="0"/>
        <v>1810</v>
      </c>
      <c r="Z12" s="38" t="str">
        <f t="shared" si="0"/>
        <v>Aksjer</v>
      </c>
      <c r="AA12" s="38">
        <f t="shared" si="0"/>
        <v>200</v>
      </c>
      <c r="AB12" s="40"/>
      <c r="AC12" s="40"/>
      <c r="AD12" s="40"/>
      <c r="AE12" s="40"/>
      <c r="AF12" s="41"/>
      <c r="AG12" s="41"/>
      <c r="AH12" s="42"/>
    </row>
    <row r="13" spans="2:34" x14ac:dyDescent="0.35">
      <c r="B13" s="195">
        <v>1900</v>
      </c>
      <c r="C13" s="196" t="s">
        <v>10</v>
      </c>
      <c r="D13" s="197">
        <v>134.75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153"/>
      <c r="P13" s="44"/>
      <c r="Q13" s="43"/>
      <c r="R13" s="33">
        <f>+Q13</f>
        <v>0</v>
      </c>
      <c r="S13" s="46">
        <f t="shared" si="4"/>
        <v>0</v>
      </c>
      <c r="T13" s="35"/>
      <c r="U13" s="35"/>
      <c r="V13" s="47">
        <f t="shared" si="2"/>
        <v>0</v>
      </c>
      <c r="W13" s="48">
        <f t="shared" si="3"/>
        <v>0</v>
      </c>
      <c r="X13" s="25"/>
      <c r="Y13" s="38">
        <f t="shared" si="0"/>
        <v>1900</v>
      </c>
      <c r="Z13" s="38" t="str">
        <f t="shared" si="0"/>
        <v>Kontanter</v>
      </c>
      <c r="AA13" s="38">
        <f t="shared" si="0"/>
        <v>134.75</v>
      </c>
      <c r="AB13" s="40"/>
      <c r="AC13" s="40"/>
      <c r="AD13" s="40"/>
      <c r="AE13" s="40"/>
      <c r="AF13" s="41"/>
      <c r="AG13" s="41"/>
      <c r="AH13" s="42"/>
    </row>
    <row r="14" spans="2:34" x14ac:dyDescent="0.35">
      <c r="B14" s="195">
        <v>2000</v>
      </c>
      <c r="C14" s="196" t="s">
        <v>11</v>
      </c>
      <c r="D14" s="197">
        <v>-800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153"/>
      <c r="P14" s="44"/>
      <c r="Q14" s="43"/>
      <c r="R14" s="33">
        <f>+Q14</f>
        <v>0</v>
      </c>
      <c r="S14" s="46"/>
      <c r="T14" s="35"/>
      <c r="U14" s="2"/>
      <c r="V14" s="47"/>
      <c r="W14" s="48">
        <f t="shared" si="3"/>
        <v>0</v>
      </c>
      <c r="X14" s="25"/>
      <c r="Y14" s="38">
        <f t="shared" si="0"/>
        <v>2000</v>
      </c>
      <c r="Z14" s="38" t="str">
        <f t="shared" si="0"/>
        <v>AK</v>
      </c>
      <c r="AA14" s="38">
        <f t="shared" si="0"/>
        <v>-800</v>
      </c>
      <c r="AB14" s="40"/>
      <c r="AC14" s="40"/>
      <c r="AD14" s="40"/>
      <c r="AE14" s="40"/>
      <c r="AF14" s="41"/>
      <c r="AG14" s="41"/>
      <c r="AH14" s="42"/>
    </row>
    <row r="15" spans="2:34" x14ac:dyDescent="0.35">
      <c r="B15" s="195">
        <v>2050</v>
      </c>
      <c r="C15" s="196" t="s">
        <v>12</v>
      </c>
      <c r="D15" s="197">
        <v>-400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153"/>
      <c r="P15" s="44"/>
      <c r="Q15" s="43"/>
      <c r="R15" s="33">
        <f>+Q15</f>
        <v>0</v>
      </c>
      <c r="S15" s="46">
        <f>+Q15-R15</f>
        <v>0</v>
      </c>
      <c r="T15" s="35"/>
      <c r="U15" s="35"/>
      <c r="V15" s="47">
        <f t="shared" ref="V15:V20" si="5">-U15+S15</f>
        <v>0</v>
      </c>
      <c r="W15" s="48">
        <f t="shared" si="3"/>
        <v>0</v>
      </c>
      <c r="X15" s="25"/>
      <c r="Y15" s="38">
        <f t="shared" si="0"/>
        <v>2050</v>
      </c>
      <c r="Z15" s="38" t="str">
        <f t="shared" si="0"/>
        <v>Annen egenkapital</v>
      </c>
      <c r="AA15" s="38">
        <f t="shared" si="0"/>
        <v>-400</v>
      </c>
      <c r="AB15" s="40"/>
      <c r="AC15" s="40"/>
      <c r="AD15" s="40"/>
      <c r="AE15" s="40"/>
      <c r="AF15" s="41"/>
      <c r="AG15" s="41"/>
      <c r="AH15" s="42"/>
    </row>
    <row r="16" spans="2:34" x14ac:dyDescent="0.35">
      <c r="B16" s="195">
        <v>2120</v>
      </c>
      <c r="C16" s="196" t="s">
        <v>13</v>
      </c>
      <c r="D16" s="197">
        <v>-128.75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153"/>
      <c r="P16" s="44"/>
      <c r="Q16" s="43"/>
      <c r="R16" s="33">
        <f>+Q16</f>
        <v>0</v>
      </c>
      <c r="S16" s="46">
        <f>+Q16-R16</f>
        <v>0</v>
      </c>
      <c r="T16" s="35"/>
      <c r="U16" s="35"/>
      <c r="V16" s="47">
        <f t="shared" si="5"/>
        <v>0</v>
      </c>
      <c r="W16" s="48">
        <f t="shared" si="3"/>
        <v>0</v>
      </c>
      <c r="X16" s="25"/>
      <c r="Y16" s="38">
        <f t="shared" si="0"/>
        <v>2120</v>
      </c>
      <c r="Z16" s="38" t="str">
        <f t="shared" si="0"/>
        <v>Utsatt skatt</v>
      </c>
      <c r="AA16" s="38">
        <f t="shared" si="0"/>
        <v>-128.75</v>
      </c>
      <c r="AB16" s="40"/>
      <c r="AC16" s="40"/>
      <c r="AD16" s="40"/>
      <c r="AE16" s="40"/>
      <c r="AF16" s="41"/>
      <c r="AG16" s="41"/>
      <c r="AH16" s="42"/>
    </row>
    <row r="17" spans="2:34" x14ac:dyDescent="0.35">
      <c r="B17" s="195">
        <v>2140</v>
      </c>
      <c r="C17" s="196" t="s">
        <v>14</v>
      </c>
      <c r="D17" s="197">
        <v>-40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153"/>
      <c r="P17" s="44"/>
      <c r="Q17" s="43"/>
      <c r="R17" s="33" t="e">
        <f>+#REF!</f>
        <v>#REF!</v>
      </c>
      <c r="S17" s="46" t="e">
        <f>+Q17-R17</f>
        <v>#REF!</v>
      </c>
      <c r="T17" s="35"/>
      <c r="U17" s="2" t="e">
        <f>+#REF!</f>
        <v>#REF!</v>
      </c>
      <c r="V17" s="47" t="e">
        <f t="shared" si="5"/>
        <v>#REF!</v>
      </c>
      <c r="W17" s="37" t="e">
        <f t="shared" si="3"/>
        <v>#REF!</v>
      </c>
      <c r="X17" s="25"/>
      <c r="Y17" s="38">
        <f t="shared" si="0"/>
        <v>2140</v>
      </c>
      <c r="Z17" s="38" t="str">
        <f t="shared" si="0"/>
        <v>Garantiavsetning</v>
      </c>
      <c r="AA17" s="38">
        <f t="shared" si="0"/>
        <v>-40</v>
      </c>
      <c r="AB17" s="40"/>
      <c r="AC17" s="40"/>
      <c r="AD17" s="40"/>
      <c r="AE17" s="40"/>
      <c r="AF17" s="41"/>
      <c r="AG17" s="41"/>
      <c r="AH17" s="42"/>
    </row>
    <row r="18" spans="2:34" x14ac:dyDescent="0.35">
      <c r="B18" s="195">
        <v>2270</v>
      </c>
      <c r="C18" s="196" t="s">
        <v>15</v>
      </c>
      <c r="D18" s="197">
        <v>-78</v>
      </c>
      <c r="E18" s="44"/>
      <c r="F18" s="44"/>
      <c r="G18" s="44"/>
      <c r="H18" s="44"/>
      <c r="I18" s="44"/>
      <c r="J18" s="44"/>
      <c r="K18" s="45"/>
      <c r="L18" s="45"/>
      <c r="M18" s="44"/>
      <c r="N18" s="44"/>
      <c r="O18" s="153"/>
      <c r="P18" s="44"/>
      <c r="Q18" s="43"/>
      <c r="R18" s="33">
        <f>+N39/1000</f>
        <v>0</v>
      </c>
      <c r="S18" s="46"/>
      <c r="T18" s="35"/>
      <c r="U18" s="35" t="e">
        <f>+#REF!</f>
        <v>#REF!</v>
      </c>
      <c r="V18" s="47" t="e">
        <f t="shared" si="5"/>
        <v>#REF!</v>
      </c>
      <c r="W18" s="48" t="e">
        <f t="shared" si="3"/>
        <v>#REF!</v>
      </c>
      <c r="X18" s="25"/>
      <c r="Y18" s="38">
        <f t="shared" si="0"/>
        <v>2270</v>
      </c>
      <c r="Z18" s="38" t="str">
        <f t="shared" si="0"/>
        <v>Langsiktig valutagjeld</v>
      </c>
      <c r="AA18" s="38">
        <f t="shared" si="0"/>
        <v>-78</v>
      </c>
      <c r="AB18" s="39"/>
      <c r="AC18" s="3"/>
      <c r="AD18" s="40"/>
      <c r="AE18" s="40"/>
      <c r="AF18" s="41"/>
      <c r="AG18" s="41"/>
      <c r="AH18" s="42"/>
    </row>
    <row r="19" spans="2:34" x14ac:dyDescent="0.35">
      <c r="B19" s="195">
        <v>2500</v>
      </c>
      <c r="C19" s="196" t="s">
        <v>16</v>
      </c>
      <c r="D19" s="197">
        <v>4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153"/>
      <c r="P19" s="44"/>
      <c r="Q19" s="43"/>
      <c r="R19" s="33">
        <f>+Q19</f>
        <v>0</v>
      </c>
      <c r="S19" s="46">
        <f>+Q19-R19</f>
        <v>0</v>
      </c>
      <c r="T19" s="35"/>
      <c r="U19" s="35"/>
      <c r="V19" s="47">
        <f t="shared" si="5"/>
        <v>0</v>
      </c>
      <c r="W19" s="48"/>
      <c r="X19" s="25"/>
      <c r="Y19" s="38">
        <f t="shared" si="0"/>
        <v>2500</v>
      </c>
      <c r="Z19" s="38" t="str">
        <f t="shared" si="0"/>
        <v>Betalbar skatt</v>
      </c>
      <c r="AA19" s="38">
        <f t="shared" si="0"/>
        <v>4</v>
      </c>
      <c r="AB19" s="39"/>
      <c r="AC19" s="40"/>
      <c r="AD19" s="40"/>
      <c r="AE19" s="40"/>
      <c r="AF19" s="41"/>
      <c r="AG19" s="41"/>
      <c r="AH19" s="42"/>
    </row>
    <row r="20" spans="2:34" x14ac:dyDescent="0.35">
      <c r="B20" s="195">
        <v>3000</v>
      </c>
      <c r="C20" s="196" t="s">
        <v>17</v>
      </c>
      <c r="D20" s="197">
        <v>-2000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153"/>
      <c r="P20" s="44"/>
      <c r="Q20" s="43"/>
      <c r="R20" s="33"/>
      <c r="S20" s="46">
        <f>+Q20-R20</f>
        <v>0</v>
      </c>
      <c r="T20" s="2">
        <f>+P20</f>
        <v>0</v>
      </c>
      <c r="U20" s="35"/>
      <c r="V20" s="47">
        <f t="shared" si="5"/>
        <v>0</v>
      </c>
      <c r="W20" s="48"/>
      <c r="X20" s="25"/>
      <c r="Y20" s="38">
        <f t="shared" si="0"/>
        <v>3000</v>
      </c>
      <c r="Z20" s="38" t="str">
        <f t="shared" si="0"/>
        <v>Driftsinntekter</v>
      </c>
      <c r="AA20" s="38">
        <f t="shared" si="0"/>
        <v>-2000</v>
      </c>
      <c r="AB20" s="40"/>
      <c r="AC20" s="40"/>
      <c r="AD20" s="40"/>
      <c r="AE20" s="40"/>
      <c r="AF20" s="41"/>
      <c r="AG20" s="41"/>
      <c r="AH20" s="42"/>
    </row>
    <row r="21" spans="2:34" x14ac:dyDescent="0.35">
      <c r="B21" s="195">
        <v>3800</v>
      </c>
      <c r="C21" s="196" t="s">
        <v>22</v>
      </c>
      <c r="D21" s="197">
        <v>-40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153"/>
      <c r="P21" s="44"/>
      <c r="Q21" s="43"/>
      <c r="R21" s="33"/>
      <c r="S21" s="46"/>
      <c r="T21" s="2"/>
      <c r="U21" s="35"/>
      <c r="V21" s="47"/>
      <c r="W21" s="48"/>
      <c r="X21" s="25"/>
      <c r="Y21" s="38">
        <f t="shared" ref="Y21:AA35" si="6">+B21</f>
        <v>3800</v>
      </c>
      <c r="Z21" s="38" t="str">
        <f t="shared" si="6"/>
        <v>Salg anlegg</v>
      </c>
      <c r="AA21" s="38"/>
      <c r="AB21" s="40"/>
      <c r="AC21" s="40"/>
      <c r="AD21" s="40"/>
      <c r="AE21" s="40"/>
      <c r="AF21" s="41"/>
      <c r="AG21" s="41"/>
      <c r="AH21" s="42"/>
    </row>
    <row r="22" spans="2:34" x14ac:dyDescent="0.35">
      <c r="B22" s="195">
        <v>3801</v>
      </c>
      <c r="C22" s="196" t="s">
        <v>130</v>
      </c>
      <c r="D22" s="197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153"/>
      <c r="P22" s="44"/>
      <c r="Q22" s="43"/>
      <c r="R22" s="33"/>
      <c r="S22" s="46"/>
      <c r="T22" s="2"/>
      <c r="U22" s="35"/>
      <c r="V22" s="47"/>
      <c r="W22" s="48"/>
      <c r="X22" s="25"/>
      <c r="Y22" s="38">
        <f t="shared" si="6"/>
        <v>3801</v>
      </c>
      <c r="Z22" s="38" t="str">
        <f t="shared" si="6"/>
        <v>Gevinst salg anlegg</v>
      </c>
      <c r="AA22" s="38"/>
      <c r="AB22" s="40"/>
      <c r="AC22" s="40"/>
      <c r="AD22" s="40"/>
      <c r="AE22" s="40"/>
      <c r="AF22" s="41"/>
      <c r="AG22" s="41"/>
      <c r="AH22" s="42"/>
    </row>
    <row r="23" spans="2:34" x14ac:dyDescent="0.35">
      <c r="B23" s="195">
        <v>4000</v>
      </c>
      <c r="C23" s="196" t="s">
        <v>18</v>
      </c>
      <c r="D23" s="197">
        <v>350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153"/>
      <c r="P23" s="44"/>
      <c r="Q23" s="43"/>
      <c r="R23" s="33"/>
      <c r="S23" s="46"/>
      <c r="T23" s="35" t="e">
        <f>+D23+#REF!-#REF!</f>
        <v>#REF!</v>
      </c>
      <c r="U23" s="35"/>
      <c r="V23" s="47"/>
      <c r="W23" s="37" t="e">
        <f t="shared" ref="W23:W28" si="7">+P23-T23</f>
        <v>#REF!</v>
      </c>
      <c r="X23" s="25"/>
      <c r="Y23" s="38">
        <f t="shared" si="6"/>
        <v>4000</v>
      </c>
      <c r="Z23" s="38" t="str">
        <f t="shared" si="6"/>
        <v>Innkjøp råvarer</v>
      </c>
      <c r="AA23" s="38">
        <f t="shared" si="6"/>
        <v>350</v>
      </c>
      <c r="AB23" s="40"/>
      <c r="AC23" s="40"/>
      <c r="AD23" s="40"/>
      <c r="AE23" s="40"/>
      <c r="AF23" s="41"/>
      <c r="AG23" s="41"/>
      <c r="AH23" s="42"/>
    </row>
    <row r="24" spans="2:34" x14ac:dyDescent="0.35">
      <c r="B24" s="195">
        <v>4390</v>
      </c>
      <c r="C24" s="196" t="s">
        <v>19</v>
      </c>
      <c r="D24" s="197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153"/>
      <c r="P24" s="44"/>
      <c r="Q24" s="43"/>
      <c r="R24" s="33"/>
      <c r="S24" s="46"/>
      <c r="T24" s="35" t="e">
        <f>+#REF!-#REF!</f>
        <v>#REF!</v>
      </c>
      <c r="U24" s="35"/>
      <c r="V24" s="47"/>
      <c r="W24" s="37" t="e">
        <f t="shared" si="7"/>
        <v>#REF!</v>
      </c>
      <c r="X24" s="25"/>
      <c r="Y24" s="38">
        <f t="shared" si="6"/>
        <v>4390</v>
      </c>
      <c r="Z24" s="38" t="str">
        <f t="shared" si="6"/>
        <v>Beholdningsendr. F.V.</v>
      </c>
      <c r="AA24" s="38">
        <f t="shared" si="6"/>
        <v>0</v>
      </c>
      <c r="AB24" s="40"/>
      <c r="AC24" s="40"/>
      <c r="AD24" s="40"/>
      <c r="AE24" s="40"/>
      <c r="AF24" s="41"/>
      <c r="AG24" s="41"/>
      <c r="AH24" s="42"/>
    </row>
    <row r="25" spans="2:34" ht="13.3" thickBot="1" x14ac:dyDescent="0.4">
      <c r="B25" s="195">
        <v>7900</v>
      </c>
      <c r="C25" s="196" t="s">
        <v>20</v>
      </c>
      <c r="D25" s="197">
        <v>973</v>
      </c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153"/>
      <c r="P25" s="154"/>
      <c r="Q25" s="43"/>
      <c r="R25" s="33"/>
      <c r="S25" s="46">
        <f>+Q25-R25</f>
        <v>0</v>
      </c>
      <c r="T25" s="2" t="e">
        <f>+D25+#REF!-#REF!</f>
        <v>#REF!</v>
      </c>
      <c r="U25" s="35"/>
      <c r="V25" s="47">
        <f>-U25+S25</f>
        <v>0</v>
      </c>
      <c r="W25" s="51" t="e">
        <f t="shared" si="7"/>
        <v>#REF!</v>
      </c>
      <c r="X25" s="25"/>
      <c r="Y25" s="38">
        <f t="shared" si="6"/>
        <v>7900</v>
      </c>
      <c r="Z25" s="38" t="str">
        <f t="shared" si="6"/>
        <v>Div. driftskostnader</v>
      </c>
      <c r="AA25" s="38">
        <f t="shared" si="6"/>
        <v>973</v>
      </c>
      <c r="AB25" s="40"/>
      <c r="AC25" s="40"/>
      <c r="AD25" s="40"/>
      <c r="AE25" s="40"/>
      <c r="AF25" s="41"/>
      <c r="AG25" s="41"/>
      <c r="AH25" s="42"/>
    </row>
    <row r="26" spans="2:34" x14ac:dyDescent="0.35">
      <c r="B26" s="195">
        <v>6000</v>
      </c>
      <c r="C26" s="196" t="s">
        <v>21</v>
      </c>
      <c r="D26" s="197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153"/>
      <c r="P26" s="44"/>
      <c r="Q26" s="43"/>
      <c r="R26" s="33"/>
      <c r="S26" s="46">
        <f>+Q26-R26</f>
        <v>0</v>
      </c>
      <c r="T26" s="2" t="e">
        <f>+#REF!</f>
        <v>#REF!</v>
      </c>
      <c r="U26" s="35"/>
      <c r="V26" s="47">
        <f>-U26+S26</f>
        <v>0</v>
      </c>
      <c r="W26" s="52" t="e">
        <f t="shared" si="7"/>
        <v>#REF!</v>
      </c>
      <c r="X26" s="25"/>
      <c r="Y26" s="38">
        <f t="shared" si="6"/>
        <v>6000</v>
      </c>
      <c r="Z26" s="38" t="str">
        <f t="shared" si="6"/>
        <v>Avskrivninger</v>
      </c>
      <c r="AA26" s="38">
        <f t="shared" si="6"/>
        <v>0</v>
      </c>
      <c r="AC26" s="3"/>
      <c r="AD26" s="40"/>
      <c r="AE26" s="40"/>
      <c r="AF26" s="41"/>
      <c r="AG26" s="41"/>
      <c r="AH26" s="42"/>
    </row>
    <row r="27" spans="2:34" ht="13.3" thickBot="1" x14ac:dyDescent="0.4">
      <c r="B27" s="195">
        <v>6015</v>
      </c>
      <c r="C27" s="196" t="s">
        <v>131</v>
      </c>
      <c r="D27" s="197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153"/>
      <c r="P27" s="44"/>
      <c r="Q27" s="43"/>
      <c r="R27" s="33"/>
      <c r="S27" s="46">
        <f>+Q27-R27</f>
        <v>0</v>
      </c>
      <c r="T27" s="35"/>
      <c r="U27" s="35"/>
      <c r="V27" s="47">
        <f>-U27+S27</f>
        <v>0</v>
      </c>
      <c r="W27" s="53">
        <f t="shared" si="7"/>
        <v>0</v>
      </c>
      <c r="X27" s="25"/>
      <c r="Y27" s="38">
        <f t="shared" si="6"/>
        <v>6015</v>
      </c>
      <c r="Z27" s="38" t="str">
        <f t="shared" si="6"/>
        <v>Tap salg anlegg</v>
      </c>
      <c r="AA27" s="38">
        <f t="shared" si="6"/>
        <v>0</v>
      </c>
      <c r="AB27" s="39"/>
      <c r="AC27" s="40"/>
      <c r="AD27" s="40"/>
      <c r="AE27" s="40"/>
      <c r="AF27" s="41"/>
      <c r="AG27" s="41"/>
      <c r="AH27" s="42"/>
    </row>
    <row r="28" spans="2:34" x14ac:dyDescent="0.35">
      <c r="B28" s="195">
        <v>7830</v>
      </c>
      <c r="C28" s="196" t="s">
        <v>23</v>
      </c>
      <c r="D28" s="197">
        <v>70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153"/>
      <c r="P28" s="32"/>
      <c r="Q28" s="43"/>
      <c r="R28" s="33"/>
      <c r="S28" s="46">
        <f>+Q28-R28</f>
        <v>0</v>
      </c>
      <c r="T28" s="2" t="e">
        <f>+D28+#REF!-#REF!</f>
        <v>#REF!</v>
      </c>
      <c r="U28" s="35"/>
      <c r="V28" s="47">
        <f>-U28+S28</f>
        <v>0</v>
      </c>
      <c r="W28" s="54" t="e">
        <f t="shared" si="7"/>
        <v>#REF!</v>
      </c>
      <c r="X28" s="25"/>
      <c r="Y28" s="38">
        <f t="shared" si="6"/>
        <v>7830</v>
      </c>
      <c r="Z28" s="38" t="str">
        <f t="shared" si="6"/>
        <v>Tap på fordringer</v>
      </c>
      <c r="AA28" s="38">
        <f t="shared" si="6"/>
        <v>70</v>
      </c>
      <c r="AB28" s="40"/>
      <c r="AC28" s="40"/>
      <c r="AD28" s="40"/>
      <c r="AE28" s="40"/>
      <c r="AF28" s="41"/>
      <c r="AG28" s="41"/>
      <c r="AH28" s="42"/>
    </row>
    <row r="29" spans="2:34" x14ac:dyDescent="0.35">
      <c r="B29" s="195">
        <v>8170</v>
      </c>
      <c r="C29" s="196" t="s">
        <v>24</v>
      </c>
      <c r="D29" s="197">
        <v>-12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153"/>
      <c r="P29" s="44"/>
      <c r="Q29" s="43"/>
      <c r="R29" s="33"/>
      <c r="S29" s="46"/>
      <c r="T29" s="2"/>
      <c r="U29" s="35"/>
      <c r="V29" s="47"/>
      <c r="W29" s="48"/>
      <c r="X29" s="25"/>
      <c r="Y29" s="38">
        <f t="shared" si="6"/>
        <v>8170</v>
      </c>
      <c r="Z29" s="38" t="str">
        <f t="shared" si="6"/>
        <v>Utbytte aksjer</v>
      </c>
      <c r="AA29" s="38">
        <f t="shared" si="6"/>
        <v>-12</v>
      </c>
      <c r="AB29" s="40"/>
      <c r="AC29" s="40"/>
      <c r="AD29" s="40"/>
      <c r="AE29" s="40"/>
      <c r="AF29" s="41"/>
      <c r="AG29" s="41"/>
      <c r="AH29" s="42"/>
    </row>
    <row r="30" spans="2:34" x14ac:dyDescent="0.35">
      <c r="B30" s="195">
        <v>8060</v>
      </c>
      <c r="C30" s="196" t="s">
        <v>25</v>
      </c>
      <c r="D30" s="197">
        <v>-5</v>
      </c>
      <c r="E30" s="44"/>
      <c r="F30" s="44"/>
      <c r="G30" s="44"/>
      <c r="H30" s="44"/>
      <c r="I30" s="44"/>
      <c r="J30" s="44"/>
      <c r="K30" s="45"/>
      <c r="L30" s="45"/>
      <c r="M30" s="44"/>
      <c r="N30" s="44"/>
      <c r="O30" s="153"/>
      <c r="P30" s="44"/>
      <c r="Q30" s="43"/>
      <c r="R30" s="33"/>
      <c r="S30" s="46">
        <f>+Q30-R30</f>
        <v>0</v>
      </c>
      <c r="T30" s="2" t="e">
        <f>+#REF!</f>
        <v>#REF!</v>
      </c>
      <c r="U30" s="35"/>
      <c r="V30" s="47">
        <f>-U30+S30</f>
        <v>0</v>
      </c>
      <c r="W30" s="48"/>
      <c r="X30" s="25"/>
      <c r="Y30" s="38">
        <f t="shared" si="6"/>
        <v>8060</v>
      </c>
      <c r="Z30" s="38" t="str">
        <f t="shared" si="6"/>
        <v>Valutagevinst</v>
      </c>
      <c r="AA30" s="38">
        <f t="shared" si="6"/>
        <v>-5</v>
      </c>
      <c r="AB30" s="39"/>
      <c r="AC30" s="3"/>
      <c r="AD30" s="40"/>
      <c r="AE30" s="40"/>
      <c r="AF30" s="41"/>
      <c r="AG30" s="41"/>
      <c r="AH30" s="42"/>
    </row>
    <row r="31" spans="2:34" x14ac:dyDescent="0.35">
      <c r="B31" s="195">
        <v>8160</v>
      </c>
      <c r="C31" s="196" t="s">
        <v>26</v>
      </c>
      <c r="D31" s="197">
        <v>20</v>
      </c>
      <c r="E31" s="44"/>
      <c r="F31" s="44"/>
      <c r="G31" s="44"/>
      <c r="H31" s="44"/>
      <c r="I31" s="44"/>
      <c r="J31" s="44"/>
      <c r="K31" s="45"/>
      <c r="L31" s="45"/>
      <c r="M31" s="44"/>
      <c r="N31" s="44"/>
      <c r="O31" s="153"/>
      <c r="P31" s="44"/>
      <c r="Q31" s="43"/>
      <c r="R31" s="33"/>
      <c r="S31" s="46">
        <f>+Q31-R31</f>
        <v>0</v>
      </c>
      <c r="T31" s="2">
        <f>+D31</f>
        <v>20</v>
      </c>
      <c r="U31" s="35"/>
      <c r="V31" s="47">
        <f>-U31+S31</f>
        <v>0</v>
      </c>
      <c r="W31" s="37" t="e">
        <f>+(P30+P31)-(T30+T31)</f>
        <v>#REF!</v>
      </c>
      <c r="X31" s="25" t="s">
        <v>88</v>
      </c>
      <c r="Y31" s="38">
        <f t="shared" si="6"/>
        <v>8160</v>
      </c>
      <c r="Z31" s="38" t="str">
        <f t="shared" si="6"/>
        <v>Valutatap</v>
      </c>
      <c r="AA31" s="38">
        <f t="shared" si="6"/>
        <v>20</v>
      </c>
      <c r="AB31" s="39"/>
      <c r="AC31" s="3"/>
      <c r="AD31" s="40"/>
      <c r="AE31" s="40"/>
      <c r="AF31" s="41"/>
      <c r="AG31" s="41"/>
      <c r="AH31" s="42"/>
    </row>
    <row r="32" spans="2:34" x14ac:dyDescent="0.35">
      <c r="B32" s="195">
        <v>8170</v>
      </c>
      <c r="C32" s="196" t="s">
        <v>27</v>
      </c>
      <c r="D32" s="197"/>
      <c r="E32" s="44"/>
      <c r="F32" s="44"/>
      <c r="G32" s="44"/>
      <c r="H32" s="151"/>
      <c r="I32" s="44"/>
      <c r="J32" s="44"/>
      <c r="K32" s="44"/>
      <c r="L32" s="44"/>
      <c r="M32" s="44"/>
      <c r="N32" s="44"/>
      <c r="O32" s="153"/>
      <c r="P32" s="44"/>
      <c r="Q32" s="43"/>
      <c r="R32" s="33"/>
      <c r="S32" s="55"/>
      <c r="T32" s="46"/>
      <c r="U32" s="35"/>
      <c r="V32" s="47"/>
      <c r="W32" s="37"/>
      <c r="X32" s="25"/>
      <c r="Y32" s="38">
        <f t="shared" si="6"/>
        <v>8170</v>
      </c>
      <c r="Z32" s="38" t="str">
        <f t="shared" si="6"/>
        <v>Kursjusteringer aksjer</v>
      </c>
      <c r="AA32" s="38">
        <f t="shared" si="6"/>
        <v>0</v>
      </c>
      <c r="AB32" s="40"/>
      <c r="AC32" s="40"/>
      <c r="AD32" s="40"/>
      <c r="AE32" s="40"/>
      <c r="AF32" s="41"/>
      <c r="AG32" s="41"/>
      <c r="AH32" s="42"/>
    </row>
    <row r="33" spans="2:34" x14ac:dyDescent="0.35">
      <c r="B33" s="195">
        <v>8300</v>
      </c>
      <c r="C33" s="196" t="s">
        <v>16</v>
      </c>
      <c r="D33" s="197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153"/>
      <c r="P33" s="44"/>
      <c r="Q33" s="43"/>
      <c r="R33" s="33"/>
      <c r="S33" s="46">
        <f>+Q33-R33</f>
        <v>0</v>
      </c>
      <c r="T33" s="35"/>
      <c r="U33" s="35"/>
      <c r="V33" s="47">
        <f>-U33+S33</f>
        <v>0</v>
      </c>
      <c r="W33" s="48"/>
      <c r="X33" s="25"/>
      <c r="Y33" s="38">
        <f t="shared" si="6"/>
        <v>8300</v>
      </c>
      <c r="Z33" s="38" t="str">
        <f t="shared" si="6"/>
        <v>Betalbar skatt</v>
      </c>
      <c r="AA33" s="38">
        <f t="shared" si="6"/>
        <v>0</v>
      </c>
      <c r="AB33" s="40"/>
      <c r="AC33" s="40"/>
      <c r="AD33" s="40"/>
      <c r="AE33" s="40"/>
      <c r="AF33" s="41"/>
      <c r="AG33" s="41"/>
      <c r="AH33" s="42"/>
    </row>
    <row r="34" spans="2:34" x14ac:dyDescent="0.35">
      <c r="B34" s="195">
        <v>8320</v>
      </c>
      <c r="C34" s="196" t="s">
        <v>28</v>
      </c>
      <c r="D34" s="197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153"/>
      <c r="P34" s="44"/>
      <c r="Q34" s="43"/>
      <c r="R34" s="33"/>
      <c r="S34" s="46"/>
      <c r="T34" s="35"/>
      <c r="U34" s="35"/>
      <c r="V34" s="47"/>
      <c r="W34" s="48"/>
      <c r="X34" s="25"/>
      <c r="Y34" s="38">
        <f t="shared" si="6"/>
        <v>8320</v>
      </c>
      <c r="Z34" s="38" t="str">
        <f t="shared" si="6"/>
        <v>Endring utsatt skatt</v>
      </c>
      <c r="AA34" s="38">
        <f t="shared" si="6"/>
        <v>0</v>
      </c>
      <c r="AB34" s="40"/>
      <c r="AC34" s="40"/>
      <c r="AD34" s="40"/>
      <c r="AE34" s="40"/>
      <c r="AF34" s="41"/>
      <c r="AG34" s="41"/>
      <c r="AH34" s="42"/>
    </row>
    <row r="35" spans="2:34" ht="13.3" thickBot="1" x14ac:dyDescent="0.4">
      <c r="B35" s="198">
        <v>8900</v>
      </c>
      <c r="C35" s="199" t="s">
        <v>1</v>
      </c>
      <c r="D35" s="200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5"/>
      <c r="P35" s="154"/>
      <c r="Q35" s="156"/>
      <c r="R35" s="33"/>
      <c r="S35" s="46">
        <f>+Q35-R35</f>
        <v>0</v>
      </c>
      <c r="T35" s="35"/>
      <c r="U35" s="35"/>
      <c r="V35" s="47">
        <f>-U35+S35</f>
        <v>0</v>
      </c>
      <c r="W35" s="48"/>
      <c r="X35" s="25"/>
      <c r="Y35" s="38">
        <f t="shared" si="6"/>
        <v>8900</v>
      </c>
      <c r="Z35" s="38" t="str">
        <f t="shared" si="6"/>
        <v>Resultat</v>
      </c>
      <c r="AA35" s="38">
        <f t="shared" si="6"/>
        <v>0</v>
      </c>
      <c r="AB35" s="40"/>
      <c r="AC35" s="40"/>
      <c r="AD35" s="40"/>
      <c r="AE35" s="40"/>
      <c r="AF35" s="41"/>
      <c r="AG35" s="41"/>
      <c r="AH35" s="42"/>
    </row>
    <row r="36" spans="2:34" ht="13.3" thickBot="1" x14ac:dyDescent="0.4">
      <c r="B36" s="195"/>
      <c r="C36" s="196"/>
      <c r="D36" s="197">
        <v>0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153"/>
      <c r="P36" s="44"/>
      <c r="Q36" s="43"/>
      <c r="R36" s="56" t="e">
        <f>SUM(U6:U35)</f>
        <v>#REF!</v>
      </c>
      <c r="S36" s="57" t="e">
        <f>SUM(V6:V35)</f>
        <v>#REF!</v>
      </c>
      <c r="T36" s="58" t="e">
        <f>SUM(W6:W35)</f>
        <v>#REF!</v>
      </c>
      <c r="U36" s="59"/>
      <c r="V36" s="60">
        <f>+B36</f>
        <v>0</v>
      </c>
      <c r="W36" s="60">
        <f>+C36</f>
        <v>0</v>
      </c>
      <c r="X36" s="60">
        <f>+D36</f>
        <v>0</v>
      </c>
      <c r="Y36" s="61"/>
      <c r="Z36" s="61"/>
      <c r="AA36" s="61"/>
      <c r="AB36" s="61"/>
      <c r="AC36" s="61"/>
      <c r="AD36" s="61"/>
      <c r="AE36" s="62"/>
    </row>
    <row r="37" spans="2:34" hidden="1" x14ac:dyDescent="0.35">
      <c r="B37" s="24"/>
      <c r="C37" s="25"/>
      <c r="D37" s="25">
        <f>+SUM(D6:D12)+SUM(D14:D35)</f>
        <v>-134.75</v>
      </c>
      <c r="E37" s="25"/>
      <c r="F37" s="25"/>
      <c r="G37" s="25"/>
      <c r="H37" s="25"/>
      <c r="I37" s="25"/>
      <c r="J37" s="25"/>
      <c r="K37" s="25" t="s">
        <v>89</v>
      </c>
      <c r="L37" s="63">
        <f>+O36+P36</f>
        <v>0</v>
      </c>
      <c r="M37" s="25"/>
      <c r="N37" s="64" t="e">
        <f>+#REF!+Q36</f>
        <v>#REF!</v>
      </c>
      <c r="O37" s="25"/>
      <c r="P37" s="25" t="e">
        <f>+#REF!-S36</f>
        <v>#REF!</v>
      </c>
      <c r="Q37" s="25"/>
      <c r="R37" s="25"/>
      <c r="S37" s="25"/>
      <c r="T37" s="25"/>
      <c r="U37" s="25"/>
    </row>
    <row r="38" spans="2:34" x14ac:dyDescent="0.35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63"/>
      <c r="M38" s="25"/>
      <c r="N38" s="64"/>
      <c r="O38" s="25"/>
      <c r="P38" s="25"/>
      <c r="Q38" s="25"/>
      <c r="R38" s="25"/>
      <c r="S38" s="25"/>
      <c r="T38" s="25"/>
      <c r="U38" s="25"/>
    </row>
    <row r="39" spans="2:34" x14ac:dyDescent="0.35">
      <c r="N39" s="95"/>
      <c r="O39" s="64"/>
      <c r="P39" s="25"/>
      <c r="Q39" s="25"/>
      <c r="R39" s="25"/>
      <c r="S39" s="25"/>
      <c r="T39" s="25"/>
      <c r="U39" s="25"/>
      <c r="V39" s="25"/>
      <c r="W39" s="25"/>
    </row>
    <row r="40" spans="2:34" x14ac:dyDescent="0.35">
      <c r="M40" s="95"/>
      <c r="N40" s="95"/>
      <c r="O40" s="64"/>
      <c r="P40" s="25"/>
      <c r="Q40" s="25"/>
      <c r="R40" s="25"/>
      <c r="S40" s="25"/>
      <c r="T40" s="25"/>
      <c r="U40" s="25"/>
      <c r="V40" s="25"/>
    </row>
    <row r="41" spans="2:34" x14ac:dyDescent="0.35">
      <c r="M41" s="95"/>
      <c r="N41" s="95"/>
      <c r="O41" s="64"/>
      <c r="P41" s="25"/>
      <c r="Q41" s="25"/>
      <c r="R41" s="25"/>
      <c r="S41" s="25"/>
      <c r="T41" s="25"/>
      <c r="U41" s="25"/>
      <c r="V41" s="25"/>
    </row>
    <row r="42" spans="2:34" hidden="1" x14ac:dyDescent="0.35">
      <c r="M42" s="95"/>
      <c r="N42" s="95"/>
      <c r="O42" s="95"/>
      <c r="P42" s="64"/>
      <c r="Q42" s="25"/>
      <c r="R42" s="25"/>
      <c r="S42" s="25"/>
      <c r="T42" s="25"/>
      <c r="U42" s="25"/>
      <c r="V42" s="25"/>
      <c r="W42" s="25"/>
    </row>
    <row r="43" spans="2:34" hidden="1" x14ac:dyDescent="0.35">
      <c r="C43" s="103" t="s">
        <v>101</v>
      </c>
      <c r="D43" s="104">
        <v>0.2</v>
      </c>
      <c r="F43" s="105" t="s">
        <v>102</v>
      </c>
      <c r="G43" s="105"/>
      <c r="I43" s="105" t="s">
        <v>103</v>
      </c>
      <c r="J43" s="106"/>
      <c r="K43" s="26"/>
      <c r="L43" s="98" t="s">
        <v>104</v>
      </c>
      <c r="M43" s="99">
        <f>+D44</f>
        <v>40</v>
      </c>
      <c r="N43" s="29"/>
      <c r="O43" s="95"/>
      <c r="P43" s="64"/>
      <c r="Q43" s="25"/>
      <c r="R43" s="25"/>
      <c r="S43" s="25"/>
      <c r="T43" s="25"/>
      <c r="U43" s="25"/>
      <c r="V43" s="25"/>
      <c r="W43" s="25"/>
    </row>
    <row r="44" spans="2:34" hidden="1" x14ac:dyDescent="0.35">
      <c r="C44" s="103" t="s">
        <v>105</v>
      </c>
      <c r="D44" s="103">
        <v>40</v>
      </c>
      <c r="E44" s="103">
        <v>0</v>
      </c>
      <c r="F44" s="103" t="s">
        <v>65</v>
      </c>
      <c r="G44" s="25">
        <v>1500</v>
      </c>
      <c r="I44" s="103" t="s">
        <v>65</v>
      </c>
      <c r="J44" s="63">
        <v>800</v>
      </c>
      <c r="K44" s="26"/>
      <c r="L44" s="105" t="s">
        <v>106</v>
      </c>
      <c r="M44" s="63" t="e">
        <f>-#REF!</f>
        <v>#REF!</v>
      </c>
      <c r="N44" s="29"/>
      <c r="O44" s="95"/>
      <c r="P44" s="64"/>
      <c r="Q44" s="25"/>
      <c r="R44" s="25"/>
      <c r="S44" s="25"/>
      <c r="T44" s="25"/>
      <c r="U44" s="25"/>
    </row>
    <row r="45" spans="2:34" hidden="1" x14ac:dyDescent="0.35">
      <c r="C45" s="103" t="s">
        <v>107</v>
      </c>
      <c r="D45" s="103">
        <v>1</v>
      </c>
      <c r="F45" s="103" t="s">
        <v>66</v>
      </c>
      <c r="G45" s="25">
        <v>260</v>
      </c>
      <c r="I45" s="103" t="s">
        <v>108</v>
      </c>
      <c r="J45" s="63" t="e">
        <f>+#REF!</f>
        <v>#REF!</v>
      </c>
      <c r="K45" s="26"/>
      <c r="L45" s="8" t="s">
        <v>109</v>
      </c>
      <c r="M45" s="111" t="e">
        <f>+D44+M44</f>
        <v>#REF!</v>
      </c>
      <c r="N45" s="29"/>
      <c r="O45" s="64"/>
      <c r="P45" s="25"/>
      <c r="Q45" s="25"/>
      <c r="R45" s="25"/>
      <c r="S45" s="25"/>
      <c r="T45" s="25"/>
      <c r="U45" s="25"/>
    </row>
    <row r="46" spans="2:34" hidden="1" x14ac:dyDescent="0.35">
      <c r="C46" s="103" t="s">
        <v>110</v>
      </c>
      <c r="D46" s="29">
        <v>2.75</v>
      </c>
      <c r="E46" s="103">
        <v>0</v>
      </c>
      <c r="F46" s="103" t="s">
        <v>111</v>
      </c>
      <c r="G46" s="25">
        <v>-100</v>
      </c>
      <c r="I46" s="103" t="s">
        <v>111</v>
      </c>
      <c r="J46" s="63" t="e">
        <f>+#REF!</f>
        <v>#REF!</v>
      </c>
      <c r="K46" s="25"/>
      <c r="L46" s="25"/>
      <c r="M46" s="25"/>
      <c r="N46" s="29"/>
      <c r="O46" s="64"/>
      <c r="P46" s="25"/>
      <c r="Q46" s="25"/>
      <c r="R46" s="25"/>
      <c r="S46" s="25"/>
      <c r="T46" s="25"/>
      <c r="U46" s="25"/>
      <c r="V46" s="25"/>
    </row>
    <row r="47" spans="2:34" hidden="1" x14ac:dyDescent="0.35">
      <c r="C47" s="103" t="s">
        <v>112</v>
      </c>
      <c r="D47" s="103">
        <v>0.25</v>
      </c>
      <c r="E47" s="103">
        <v>0</v>
      </c>
      <c r="I47" s="103" t="s">
        <v>113</v>
      </c>
      <c r="J47" s="25"/>
      <c r="K47" s="25"/>
      <c r="L47" s="25"/>
      <c r="M47" s="25"/>
      <c r="N47" s="29"/>
      <c r="O47" s="95"/>
      <c r="P47" s="95"/>
      <c r="Q47" s="95"/>
      <c r="R47" s="64"/>
      <c r="S47" s="25"/>
      <c r="T47" s="25"/>
      <c r="U47" s="25"/>
      <c r="V47" s="25"/>
      <c r="W47" s="25"/>
      <c r="X47" s="25"/>
    </row>
    <row r="48" spans="2:34" hidden="1" x14ac:dyDescent="0.35">
      <c r="B48" s="24"/>
      <c r="C48" s="103" t="s">
        <v>114</v>
      </c>
      <c r="D48" s="29">
        <v>0.5</v>
      </c>
      <c r="E48" s="103">
        <v>0</v>
      </c>
      <c r="F48" s="112" t="s">
        <v>73</v>
      </c>
      <c r="G48" s="96">
        <f>SUM(G44:G46)</f>
        <v>1660</v>
      </c>
      <c r="I48" s="112" t="s">
        <v>73</v>
      </c>
      <c r="J48" s="111" t="e">
        <f>SUM(J44:J47)</f>
        <v>#REF!</v>
      </c>
      <c r="M48" s="25"/>
      <c r="N48" s="29"/>
      <c r="O48" s="95"/>
      <c r="P48" s="95"/>
      <c r="Q48" s="95"/>
      <c r="R48" s="64"/>
      <c r="S48" s="25"/>
      <c r="T48" s="25"/>
      <c r="U48" s="25"/>
      <c r="W48" s="25"/>
      <c r="X48" s="25"/>
    </row>
    <row r="49" spans="2:21" hidden="1" x14ac:dyDescent="0.35">
      <c r="B49" s="24"/>
      <c r="C49" s="103"/>
      <c r="E49" s="103"/>
      <c r="G49" s="25"/>
      <c r="I49" s="8" t="s">
        <v>115</v>
      </c>
      <c r="J49" s="111" t="e">
        <f>+G48-J48</f>
        <v>#REF!</v>
      </c>
      <c r="K49" s="9"/>
      <c r="L49" s="99"/>
      <c r="M49" s="25"/>
      <c r="N49" s="29"/>
      <c r="O49" s="95"/>
      <c r="P49" s="95"/>
      <c r="Q49" s="95"/>
      <c r="R49" s="64"/>
      <c r="S49" s="25"/>
      <c r="T49" s="25"/>
      <c r="U49" s="25"/>
    </row>
    <row r="50" spans="2:21" hidden="1" x14ac:dyDescent="0.35">
      <c r="B50" s="24"/>
      <c r="C50" s="103"/>
      <c r="E50" s="103"/>
      <c r="G50" s="25"/>
      <c r="I50" s="98"/>
      <c r="J50" s="99"/>
      <c r="K50" s="9"/>
      <c r="L50" s="99"/>
      <c r="M50" s="25"/>
      <c r="N50" s="29"/>
      <c r="O50" s="95"/>
      <c r="P50" s="95"/>
      <c r="Q50" s="95"/>
      <c r="R50" s="64"/>
      <c r="S50" s="25"/>
      <c r="T50" s="25"/>
      <c r="U50" s="25"/>
    </row>
    <row r="51" spans="2:21" hidden="1" x14ac:dyDescent="0.35">
      <c r="B51" s="24"/>
      <c r="C51" s="6"/>
      <c r="M51" s="25"/>
      <c r="N51" s="29"/>
      <c r="O51" s="95"/>
      <c r="P51" s="95"/>
      <c r="Q51" s="95"/>
      <c r="R51" s="64"/>
      <c r="S51" s="25"/>
      <c r="T51" s="25"/>
      <c r="U51" s="25"/>
    </row>
    <row r="52" spans="2:21" x14ac:dyDescent="0.35">
      <c r="B52" s="24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64"/>
      <c r="O52" s="25"/>
      <c r="P52" s="25"/>
      <c r="Q52" s="25"/>
      <c r="R52" s="25"/>
      <c r="S52" s="25"/>
      <c r="T52" s="25"/>
      <c r="U52" s="25"/>
    </row>
    <row r="53" spans="2:21" x14ac:dyDescent="0.35">
      <c r="B53" s="24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64"/>
      <c r="O53" s="25"/>
      <c r="P53" s="25"/>
      <c r="Q53" s="25"/>
      <c r="R53" s="25"/>
      <c r="S53" s="25"/>
      <c r="T53" s="25"/>
      <c r="U53" s="25"/>
    </row>
    <row r="54" spans="2:21" x14ac:dyDescent="0.35">
      <c r="B54" s="24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64"/>
      <c r="O54" s="25"/>
      <c r="P54" s="25"/>
      <c r="Q54" s="25"/>
      <c r="R54" s="25"/>
      <c r="S54" s="25"/>
      <c r="T54" s="25"/>
      <c r="U54" s="25"/>
    </row>
    <row r="55" spans="2:21" x14ac:dyDescent="0.35">
      <c r="B55" s="24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64"/>
      <c r="O55" s="25"/>
      <c r="P55" s="25"/>
      <c r="Q55" s="25"/>
      <c r="R55" s="25"/>
      <c r="S55" s="25"/>
      <c r="T55" s="25"/>
      <c r="U55" s="25"/>
    </row>
    <row r="56" spans="2:21" x14ac:dyDescent="0.35"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64"/>
      <c r="O56" s="25"/>
      <c r="P56" s="25"/>
      <c r="Q56" s="25"/>
      <c r="R56" s="25"/>
      <c r="S56" s="25"/>
      <c r="T56" s="25"/>
      <c r="U56" s="25"/>
    </row>
    <row r="57" spans="2:21" x14ac:dyDescent="0.35"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64"/>
      <c r="O57" s="25"/>
      <c r="P57" s="25"/>
      <c r="Q57" s="25"/>
      <c r="R57" s="25"/>
      <c r="S57" s="25"/>
      <c r="T57" s="25"/>
      <c r="U57" s="25"/>
    </row>
    <row r="58" spans="2:21" x14ac:dyDescent="0.35">
      <c r="B58" s="24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64"/>
      <c r="O58" s="25"/>
      <c r="P58" s="25"/>
      <c r="Q58" s="25"/>
      <c r="R58" s="25"/>
      <c r="S58" s="25"/>
      <c r="T58" s="25"/>
      <c r="U58" s="25"/>
    </row>
    <row r="59" spans="2:21" x14ac:dyDescent="0.35">
      <c r="B59" s="24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64"/>
      <c r="O59" s="25"/>
      <c r="P59" s="25"/>
      <c r="Q59" s="25"/>
      <c r="R59" s="25"/>
      <c r="S59" s="25"/>
      <c r="T59" s="25"/>
      <c r="U59" s="25"/>
    </row>
    <row r="60" spans="2:21" x14ac:dyDescent="0.35">
      <c r="B60" s="24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64"/>
      <c r="O60" s="25"/>
      <c r="P60" s="25"/>
      <c r="Q60" s="25"/>
      <c r="R60" s="25"/>
      <c r="S60" s="25"/>
      <c r="T60" s="25"/>
      <c r="U60" s="25"/>
    </row>
    <row r="61" spans="2:21" x14ac:dyDescent="0.35">
      <c r="B61" s="24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64"/>
      <c r="O61" s="25"/>
      <c r="P61" s="25"/>
      <c r="Q61" s="25"/>
      <c r="R61" s="25"/>
      <c r="S61" s="25"/>
      <c r="T61" s="25"/>
      <c r="U61" s="25"/>
    </row>
    <row r="62" spans="2:21" x14ac:dyDescent="0.35">
      <c r="B62" s="148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64"/>
      <c r="O62" s="25"/>
      <c r="P62" s="25"/>
      <c r="Q62" s="25"/>
      <c r="R62" s="25"/>
      <c r="S62" s="25"/>
      <c r="T62" s="25"/>
      <c r="U62" s="25"/>
    </row>
    <row r="63" spans="2:21" x14ac:dyDescent="0.35">
      <c r="P63" s="25"/>
      <c r="Q63" s="25"/>
      <c r="R63" s="25"/>
      <c r="S63" s="25"/>
      <c r="T63" s="25"/>
      <c r="U63" s="25"/>
    </row>
    <row r="64" spans="2:21" x14ac:dyDescent="0.35">
      <c r="P64" s="25"/>
      <c r="Q64" s="25"/>
      <c r="R64" s="25"/>
      <c r="S64" s="25"/>
      <c r="T64" s="25"/>
      <c r="U64" s="25"/>
    </row>
    <row r="65" spans="16:21" x14ac:dyDescent="0.35">
      <c r="P65" s="25"/>
      <c r="Q65" s="25"/>
      <c r="R65" s="25"/>
      <c r="S65" s="25"/>
      <c r="T65" s="25"/>
      <c r="U65" s="25"/>
    </row>
    <row r="66" spans="16:21" x14ac:dyDescent="0.35">
      <c r="P66" s="25"/>
      <c r="Q66" s="25"/>
      <c r="R66" s="25"/>
      <c r="S66" s="25"/>
      <c r="T66" s="25"/>
      <c r="U66" s="25"/>
    </row>
    <row r="67" spans="16:21" x14ac:dyDescent="0.35">
      <c r="P67" s="25"/>
      <c r="Q67" s="25"/>
      <c r="R67" s="25"/>
      <c r="S67" s="25"/>
      <c r="T67" s="25"/>
      <c r="U67" s="25"/>
    </row>
    <row r="68" spans="16:21" x14ac:dyDescent="0.35">
      <c r="P68" s="25"/>
      <c r="Q68" s="25"/>
      <c r="R68" s="25"/>
      <c r="S68" s="25"/>
    </row>
  </sheetData>
  <mergeCells count="3">
    <mergeCell ref="S2:T2"/>
    <mergeCell ref="E4:N4"/>
    <mergeCell ref="M5:N5"/>
  </mergeCells>
  <printOptions gridLines="1"/>
  <pageMargins left="0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A177"/>
  <sheetViews>
    <sheetView showGridLines="0" showZeros="0" tabSelected="1" workbookViewId="0">
      <selection activeCell="O95" sqref="O95"/>
    </sheetView>
  </sheetViews>
  <sheetFormatPr defaultColWidth="9.1640625" defaultRowHeight="12.9" x14ac:dyDescent="0.35"/>
  <cols>
    <col min="1" max="1" width="3.4140625" style="29" customWidth="1"/>
    <col min="2" max="2" width="7.58203125" style="146" customWidth="1"/>
    <col min="3" max="3" width="21.83203125" style="29" customWidth="1"/>
    <col min="4" max="4" width="8.83203125" style="29" customWidth="1"/>
    <col min="5" max="5" width="8.75" style="29" customWidth="1"/>
    <col min="6" max="6" width="7.83203125" style="29" customWidth="1"/>
    <col min="7" max="7" width="7.75" style="29" customWidth="1"/>
    <col min="8" max="8" width="8.1640625" style="29" customWidth="1"/>
    <col min="9" max="9" width="8.75" style="29" customWidth="1"/>
    <col min="10" max="10" width="10.75" style="29" customWidth="1"/>
    <col min="11" max="11" width="7.4140625" style="29" customWidth="1"/>
    <col min="12" max="12" width="10" style="29" customWidth="1"/>
    <col min="13" max="13" width="8" style="29" customWidth="1"/>
    <col min="14" max="14" width="7.25" style="49" customWidth="1"/>
    <col min="15" max="15" width="9.1640625" style="29" customWidth="1"/>
    <col min="16" max="16" width="8.1640625" style="29" customWidth="1"/>
    <col min="17" max="17" width="9.25" style="29" customWidth="1"/>
    <col min="18" max="18" width="6.75" style="29" hidden="1" customWidth="1"/>
    <col min="19" max="19" width="7.75" style="29" hidden="1" customWidth="1"/>
    <col min="20" max="20" width="25.75" style="29" hidden="1" customWidth="1"/>
    <col min="21" max="38" width="0" style="29" hidden="1" customWidth="1"/>
    <col min="39" max="40" width="9.1640625" style="29" customWidth="1"/>
    <col min="41" max="41" width="7.83203125" style="29" customWidth="1"/>
    <col min="42" max="42" width="20.4140625" style="29" customWidth="1"/>
    <col min="43" max="43" width="8.4140625" style="29" customWidth="1"/>
    <col min="44" max="16384" width="9.1640625" style="29"/>
  </cols>
  <sheetData>
    <row r="2" spans="2:34" ht="13.3" thickBot="1" x14ac:dyDescent="0.4">
      <c r="B2" s="149" t="s">
        <v>146</v>
      </c>
      <c r="D2" s="25"/>
      <c r="E2" s="25"/>
      <c r="F2" s="25"/>
      <c r="G2" s="25"/>
      <c r="H2" s="25"/>
      <c r="I2" s="25"/>
      <c r="J2" s="25" t="s">
        <v>132</v>
      </c>
      <c r="K2" s="26"/>
      <c r="L2" s="27">
        <v>0.25</v>
      </c>
      <c r="M2" s="26"/>
      <c r="N2" s="28"/>
      <c r="O2" s="26"/>
      <c r="P2" s="26"/>
      <c r="Q2" s="25"/>
      <c r="R2" s="25"/>
      <c r="S2" s="202" t="str">
        <f>+B2</f>
        <v>Oppgave 16-21 Løsning</v>
      </c>
      <c r="T2" s="202"/>
      <c r="U2" s="25"/>
    </row>
    <row r="3" spans="2:34" x14ac:dyDescent="0.35">
      <c r="B3" s="149"/>
      <c r="D3" s="25"/>
      <c r="E3" s="25"/>
      <c r="F3" s="25"/>
      <c r="G3" s="25"/>
      <c r="H3" s="25"/>
      <c r="I3" s="25"/>
      <c r="J3" s="25"/>
      <c r="K3" s="26"/>
      <c r="L3" s="27"/>
      <c r="M3" s="26"/>
      <c r="N3" s="28"/>
      <c r="O3" s="26"/>
      <c r="P3" s="26"/>
      <c r="Q3" s="25"/>
      <c r="R3" s="25"/>
      <c r="S3" s="150"/>
      <c r="T3" s="150"/>
      <c r="U3" s="25"/>
    </row>
    <row r="4" spans="2:34" ht="14.25" customHeight="1" thickBot="1" x14ac:dyDescent="0.4">
      <c r="B4" s="184" t="s">
        <v>0</v>
      </c>
      <c r="C4" s="185"/>
      <c r="D4" s="186" t="s">
        <v>139</v>
      </c>
      <c r="E4" s="203" t="s">
        <v>140</v>
      </c>
      <c r="F4" s="204"/>
      <c r="G4" s="204"/>
      <c r="H4" s="204"/>
      <c r="I4" s="204"/>
      <c r="J4" s="204"/>
      <c r="K4" s="204"/>
      <c r="L4" s="204"/>
      <c r="M4" s="204"/>
      <c r="N4" s="204"/>
      <c r="O4" s="186" t="s">
        <v>137</v>
      </c>
      <c r="P4" s="187"/>
      <c r="Q4" s="187"/>
      <c r="R4" s="25"/>
      <c r="S4" s="150"/>
      <c r="T4" s="150"/>
      <c r="U4" s="25"/>
    </row>
    <row r="5" spans="2:34" s="6" customFormat="1" x14ac:dyDescent="0.35">
      <c r="B5" s="188" t="s">
        <v>136</v>
      </c>
      <c r="C5" s="189" t="s">
        <v>0</v>
      </c>
      <c r="D5" s="189" t="s">
        <v>138</v>
      </c>
      <c r="E5" s="190">
        <v>1</v>
      </c>
      <c r="F5" s="191">
        <v>2</v>
      </c>
      <c r="G5" s="191">
        <v>3</v>
      </c>
      <c r="H5" s="191">
        <v>4</v>
      </c>
      <c r="I5" s="191">
        <v>5</v>
      </c>
      <c r="J5" s="191">
        <v>6</v>
      </c>
      <c r="K5" s="191">
        <v>7</v>
      </c>
      <c r="L5" s="191">
        <v>8</v>
      </c>
      <c r="M5" s="203">
        <v>9</v>
      </c>
      <c r="N5" s="205"/>
      <c r="O5" s="192" t="s">
        <v>138</v>
      </c>
      <c r="P5" s="189" t="s">
        <v>1</v>
      </c>
      <c r="Q5" s="193" t="s">
        <v>2</v>
      </c>
      <c r="R5" s="23" t="s">
        <v>84</v>
      </c>
      <c r="S5" s="14" t="s">
        <v>85</v>
      </c>
      <c r="T5" s="15" t="s">
        <v>86</v>
      </c>
      <c r="U5" s="14" t="s">
        <v>85</v>
      </c>
      <c r="V5" s="16" t="s">
        <v>87</v>
      </c>
      <c r="W5" s="17"/>
      <c r="X5" s="7"/>
      <c r="Y5" s="18" t="str">
        <f t="shared" ref="Y5:Y20" si="0">+B5</f>
        <v>nr</v>
      </c>
      <c r="Z5" s="18" t="str">
        <f t="shared" ref="Z5:Z20" si="1">+C5</f>
        <v>Konto</v>
      </c>
      <c r="AA5" s="19" t="str">
        <f t="shared" ref="AA5:AA20" si="2">+D5</f>
        <v>s.balanse</v>
      </c>
      <c r="AB5" s="20" t="e">
        <f>+#REF!</f>
        <v>#REF!</v>
      </c>
      <c r="AC5" s="20">
        <f>+K5</f>
        <v>7</v>
      </c>
      <c r="AD5" s="20">
        <f t="shared" ref="AD5:AH5" si="3">+M5</f>
        <v>9</v>
      </c>
      <c r="AE5" s="20">
        <f t="shared" si="3"/>
        <v>0</v>
      </c>
      <c r="AF5" s="20" t="str">
        <f t="shared" si="3"/>
        <v>s.balanse</v>
      </c>
      <c r="AG5" s="20" t="str">
        <f t="shared" si="3"/>
        <v>Resultat</v>
      </c>
      <c r="AH5" s="21" t="str">
        <f t="shared" si="3"/>
        <v>Balanse</v>
      </c>
    </row>
    <row r="6" spans="2:34" x14ac:dyDescent="0.35">
      <c r="B6" s="194">
        <v>1200</v>
      </c>
      <c r="C6" s="162" t="s">
        <v>3</v>
      </c>
      <c r="D6" s="175">
        <f>+G153-J153+G154</f>
        <v>960</v>
      </c>
      <c r="E6" s="32"/>
      <c r="F6" s="32"/>
      <c r="G6" s="32"/>
      <c r="H6" s="32"/>
      <c r="I6" s="32"/>
      <c r="J6" s="32"/>
      <c r="K6" s="32">
        <f>-I100</f>
        <v>-348</v>
      </c>
      <c r="L6" s="32"/>
      <c r="M6" s="32"/>
      <c r="N6" s="32"/>
      <c r="O6" s="152">
        <f>SUM(D6:N6)</f>
        <v>612</v>
      </c>
      <c r="P6" s="32"/>
      <c r="Q6" s="31">
        <f t="shared" ref="Q6:Q19" si="4">+O6</f>
        <v>612</v>
      </c>
      <c r="R6" s="33">
        <f>+I109</f>
        <v>688</v>
      </c>
      <c r="S6" s="34">
        <f>+Q6-R6</f>
        <v>-76</v>
      </c>
      <c r="T6" s="35"/>
      <c r="U6" s="2">
        <f>+H129</f>
        <v>60</v>
      </c>
      <c r="V6" s="36">
        <f t="shared" ref="V6:V13" si="5">-U6+S6</f>
        <v>-136</v>
      </c>
      <c r="W6" s="37">
        <f t="shared" ref="W6:W18" si="6">+V6</f>
        <v>-136</v>
      </c>
      <c r="X6" s="25"/>
      <c r="Y6" s="38">
        <f t="shared" si="0"/>
        <v>1200</v>
      </c>
      <c r="Z6" s="38" t="str">
        <f t="shared" si="1"/>
        <v>Driftsmidler</v>
      </c>
      <c r="AA6" s="38">
        <f t="shared" si="2"/>
        <v>960</v>
      </c>
      <c r="AB6" s="39"/>
      <c r="AC6" s="3"/>
      <c r="AD6" s="40"/>
      <c r="AE6" s="40"/>
      <c r="AF6" s="41"/>
      <c r="AG6" s="41"/>
      <c r="AH6" s="42"/>
    </row>
    <row r="7" spans="2:34" x14ac:dyDescent="0.35">
      <c r="B7" s="195">
        <v>1390</v>
      </c>
      <c r="C7" s="196" t="s">
        <v>4</v>
      </c>
      <c r="D7" s="197">
        <f>+I68/1000</f>
        <v>54</v>
      </c>
      <c r="E7" s="44"/>
      <c r="F7" s="44"/>
      <c r="G7" s="44"/>
      <c r="H7" s="44"/>
      <c r="I7" s="44"/>
      <c r="J7" s="44">
        <f>+M68</f>
        <v>5</v>
      </c>
      <c r="K7" s="45"/>
      <c r="L7" s="45"/>
      <c r="M7" s="44"/>
      <c r="N7" s="44"/>
      <c r="O7" s="153">
        <f>SUM(D7:N7)</f>
        <v>59</v>
      </c>
      <c r="P7" s="44"/>
      <c r="Q7" s="43">
        <f t="shared" si="4"/>
        <v>59</v>
      </c>
      <c r="R7" s="33">
        <f>+N144/1000</f>
        <v>0</v>
      </c>
      <c r="S7" s="46"/>
      <c r="T7" s="35"/>
      <c r="U7" s="2"/>
      <c r="V7" s="47">
        <f t="shared" si="5"/>
        <v>0</v>
      </c>
      <c r="W7" s="48">
        <f t="shared" si="6"/>
        <v>0</v>
      </c>
      <c r="X7" s="25"/>
      <c r="Y7" s="38">
        <f t="shared" si="0"/>
        <v>1390</v>
      </c>
      <c r="Z7" s="38" t="str">
        <f t="shared" si="1"/>
        <v>Langsiktig fordring</v>
      </c>
      <c r="AA7" s="38">
        <f t="shared" si="2"/>
        <v>54</v>
      </c>
      <c r="AB7" s="39"/>
      <c r="AC7" s="3"/>
      <c r="AD7" s="40"/>
      <c r="AE7" s="40"/>
      <c r="AF7" s="41"/>
      <c r="AG7" s="41"/>
      <c r="AH7" s="42"/>
    </row>
    <row r="8" spans="2:34" x14ac:dyDescent="0.35">
      <c r="B8" s="195">
        <v>1400</v>
      </c>
      <c r="C8" s="196" t="s">
        <v>5</v>
      </c>
      <c r="D8" s="197">
        <f>+D125</f>
        <v>100</v>
      </c>
      <c r="E8" s="44"/>
      <c r="F8" s="44">
        <f>+F54</f>
        <v>50</v>
      </c>
      <c r="G8" s="44"/>
      <c r="H8" s="44"/>
      <c r="I8" s="44"/>
      <c r="J8" s="44"/>
      <c r="K8" s="44"/>
      <c r="L8" s="44"/>
      <c r="M8" s="44"/>
      <c r="N8" s="44"/>
      <c r="O8" s="153">
        <f t="shared" ref="O8:O19" si="7">SUM(D8:N8)</f>
        <v>150</v>
      </c>
      <c r="P8" s="44"/>
      <c r="Q8" s="43">
        <f t="shared" si="4"/>
        <v>150</v>
      </c>
      <c r="R8" s="33">
        <f>+G125</f>
        <v>178</v>
      </c>
      <c r="S8" s="46">
        <f t="shared" ref="S8:S13" si="8">+Q8-R8</f>
        <v>-28</v>
      </c>
      <c r="T8" s="35"/>
      <c r="U8" s="2">
        <f>+H125</f>
        <v>-20</v>
      </c>
      <c r="V8" s="47">
        <f t="shared" si="5"/>
        <v>-8</v>
      </c>
      <c r="W8" s="37">
        <f t="shared" si="6"/>
        <v>-8</v>
      </c>
      <c r="X8" s="25"/>
      <c r="Y8" s="38">
        <f t="shared" si="0"/>
        <v>1400</v>
      </c>
      <c r="Z8" s="38" t="str">
        <f t="shared" si="1"/>
        <v>Råvarer</v>
      </c>
      <c r="AA8" s="38">
        <f t="shared" si="2"/>
        <v>100</v>
      </c>
      <c r="AB8" s="40"/>
      <c r="AC8" s="40"/>
      <c r="AD8" s="40"/>
      <c r="AE8" s="40"/>
      <c r="AF8" s="41"/>
      <c r="AG8" s="41"/>
      <c r="AH8" s="42"/>
    </row>
    <row r="9" spans="2:34" x14ac:dyDescent="0.35">
      <c r="B9" s="195">
        <v>1440</v>
      </c>
      <c r="C9" s="196" t="s">
        <v>6</v>
      </c>
      <c r="D9" s="197">
        <f>+D126</f>
        <v>350</v>
      </c>
      <c r="E9" s="44"/>
      <c r="F9" s="44"/>
      <c r="G9" s="44">
        <f>+F59</f>
        <v>-110</v>
      </c>
      <c r="H9" s="44"/>
      <c r="I9" s="44"/>
      <c r="J9" s="44"/>
      <c r="K9" s="44"/>
      <c r="L9" s="44"/>
      <c r="M9" s="44"/>
      <c r="N9" s="44"/>
      <c r="O9" s="153">
        <f t="shared" si="7"/>
        <v>240</v>
      </c>
      <c r="P9" s="44"/>
      <c r="Q9" s="43">
        <f t="shared" si="4"/>
        <v>240</v>
      </c>
      <c r="R9" s="33">
        <f>+G126</f>
        <v>120</v>
      </c>
      <c r="S9" s="46">
        <f t="shared" si="8"/>
        <v>120</v>
      </c>
      <c r="T9" s="35"/>
      <c r="U9" s="2">
        <f>+H126</f>
        <v>190</v>
      </c>
      <c r="V9" s="47">
        <f t="shared" si="5"/>
        <v>-70</v>
      </c>
      <c r="W9" s="37">
        <f t="shared" si="6"/>
        <v>-70</v>
      </c>
      <c r="X9" s="25"/>
      <c r="Y9" s="38">
        <f t="shared" si="0"/>
        <v>1440</v>
      </c>
      <c r="Z9" s="38" t="str">
        <f t="shared" si="1"/>
        <v>Ferdige varer</v>
      </c>
      <c r="AA9" s="38">
        <f t="shared" si="2"/>
        <v>350</v>
      </c>
      <c r="AB9" s="40"/>
      <c r="AC9" s="40"/>
      <c r="AD9" s="40"/>
      <c r="AE9" s="40"/>
      <c r="AF9" s="41"/>
      <c r="AG9" s="41"/>
      <c r="AH9" s="42"/>
    </row>
    <row r="10" spans="2:34" x14ac:dyDescent="0.35">
      <c r="B10" s="195">
        <v>1500</v>
      </c>
      <c r="C10" s="196" t="s">
        <v>7</v>
      </c>
      <c r="D10" s="197">
        <v>300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153">
        <f t="shared" si="7"/>
        <v>300</v>
      </c>
      <c r="P10" s="44"/>
      <c r="Q10" s="43">
        <f t="shared" si="4"/>
        <v>300</v>
      </c>
      <c r="R10" s="33">
        <f>+Q10</f>
        <v>300</v>
      </c>
      <c r="S10" s="46">
        <f t="shared" si="8"/>
        <v>0</v>
      </c>
      <c r="T10" s="35"/>
      <c r="U10" s="35"/>
      <c r="V10" s="47">
        <f t="shared" si="5"/>
        <v>0</v>
      </c>
      <c r="W10" s="48">
        <f t="shared" si="6"/>
        <v>0</v>
      </c>
      <c r="X10" s="25"/>
      <c r="Y10" s="38">
        <f t="shared" si="0"/>
        <v>1500</v>
      </c>
      <c r="Z10" s="38" t="str">
        <f t="shared" si="1"/>
        <v>Kundefordringer</v>
      </c>
      <c r="AA10" s="38">
        <f t="shared" si="2"/>
        <v>300</v>
      </c>
      <c r="AB10" s="40"/>
      <c r="AC10" s="40"/>
      <c r="AD10" s="40"/>
      <c r="AE10" s="40"/>
      <c r="AF10" s="41"/>
      <c r="AG10" s="41"/>
      <c r="AH10" s="42"/>
    </row>
    <row r="11" spans="2:34" x14ac:dyDescent="0.35">
      <c r="B11" s="195">
        <v>1580</v>
      </c>
      <c r="C11" s="196" t="s">
        <v>8</v>
      </c>
      <c r="D11" s="197">
        <f>D124</f>
        <v>-12</v>
      </c>
      <c r="E11" s="44">
        <f>-F50</f>
        <v>-3</v>
      </c>
      <c r="F11" s="44"/>
      <c r="G11" s="44"/>
      <c r="H11" s="44"/>
      <c r="I11" s="44"/>
      <c r="J11" s="44"/>
      <c r="K11" s="44"/>
      <c r="L11" s="44"/>
      <c r="M11" s="44"/>
      <c r="N11" s="44"/>
      <c r="O11" s="153">
        <f t="shared" si="7"/>
        <v>-15</v>
      </c>
      <c r="P11" s="44"/>
      <c r="Q11" s="43">
        <f t="shared" si="4"/>
        <v>-15</v>
      </c>
      <c r="R11" s="33">
        <f>+G124</f>
        <v>-42.007001166861144</v>
      </c>
      <c r="S11" s="46">
        <f t="shared" si="8"/>
        <v>27.007001166861144</v>
      </c>
      <c r="T11" s="35"/>
      <c r="U11" s="2">
        <f>+H124</f>
        <v>25</v>
      </c>
      <c r="V11" s="47">
        <f t="shared" si="5"/>
        <v>2.0070011668611443</v>
      </c>
      <c r="W11" s="37">
        <f t="shared" si="6"/>
        <v>2.0070011668611443</v>
      </c>
      <c r="X11" s="25"/>
      <c r="Y11" s="38">
        <f t="shared" si="0"/>
        <v>1580</v>
      </c>
      <c r="Z11" s="38" t="str">
        <f t="shared" si="1"/>
        <v>Avsetn. tap fordringer</v>
      </c>
      <c r="AA11" s="38">
        <f t="shared" si="2"/>
        <v>-12</v>
      </c>
      <c r="AB11" s="40"/>
      <c r="AC11" s="40"/>
      <c r="AD11" s="40"/>
      <c r="AE11" s="40"/>
      <c r="AF11" s="41"/>
      <c r="AG11" s="41"/>
      <c r="AH11" s="42"/>
    </row>
    <row r="12" spans="2:34" x14ac:dyDescent="0.35">
      <c r="B12" s="195">
        <v>1810</v>
      </c>
      <c r="C12" s="196" t="s">
        <v>9</v>
      </c>
      <c r="D12" s="197">
        <v>200</v>
      </c>
      <c r="E12" s="44"/>
      <c r="F12" s="44"/>
      <c r="G12" s="44"/>
      <c r="H12" s="151"/>
      <c r="I12" s="44">
        <f>+F63</f>
        <v>-40</v>
      </c>
      <c r="J12" s="44"/>
      <c r="K12" s="44"/>
      <c r="L12" s="44"/>
      <c r="M12" s="44"/>
      <c r="N12" s="44"/>
      <c r="O12" s="153">
        <f t="shared" si="7"/>
        <v>160</v>
      </c>
      <c r="P12" s="44"/>
      <c r="Q12" s="43">
        <f t="shared" si="4"/>
        <v>160</v>
      </c>
      <c r="R12" s="33"/>
      <c r="S12" s="46"/>
      <c r="T12" s="50"/>
      <c r="U12" s="4"/>
      <c r="V12" s="47"/>
      <c r="W12" s="37">
        <f t="shared" si="6"/>
        <v>0</v>
      </c>
      <c r="X12" s="25"/>
      <c r="Y12" s="38">
        <f t="shared" si="0"/>
        <v>1810</v>
      </c>
      <c r="Z12" s="38" t="str">
        <f t="shared" si="1"/>
        <v>Aksjer</v>
      </c>
      <c r="AA12" s="38">
        <f t="shared" si="2"/>
        <v>200</v>
      </c>
      <c r="AB12" s="40"/>
      <c r="AC12" s="40"/>
      <c r="AD12" s="40"/>
      <c r="AE12" s="40"/>
      <c r="AF12" s="41"/>
      <c r="AG12" s="41"/>
      <c r="AH12" s="42"/>
    </row>
    <row r="13" spans="2:34" x14ac:dyDescent="0.35">
      <c r="B13" s="195">
        <v>1900</v>
      </c>
      <c r="C13" s="196" t="s">
        <v>10</v>
      </c>
      <c r="D13" s="197">
        <f>-D37</f>
        <v>134.75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153">
        <f t="shared" si="7"/>
        <v>134.75</v>
      </c>
      <c r="P13" s="44"/>
      <c r="Q13" s="43">
        <f t="shared" si="4"/>
        <v>134.75</v>
      </c>
      <c r="R13" s="33">
        <f>+Q13</f>
        <v>134.75</v>
      </c>
      <c r="S13" s="46">
        <f t="shared" si="8"/>
        <v>0</v>
      </c>
      <c r="T13" s="35"/>
      <c r="U13" s="35"/>
      <c r="V13" s="47">
        <f t="shared" si="5"/>
        <v>0</v>
      </c>
      <c r="W13" s="48">
        <f t="shared" si="6"/>
        <v>0</v>
      </c>
      <c r="X13" s="25"/>
      <c r="Y13" s="38">
        <f t="shared" si="0"/>
        <v>1900</v>
      </c>
      <c r="Z13" s="38" t="str">
        <f t="shared" si="1"/>
        <v>Kontanter</v>
      </c>
      <c r="AA13" s="38">
        <f t="shared" si="2"/>
        <v>134.75</v>
      </c>
      <c r="AB13" s="40"/>
      <c r="AC13" s="40"/>
      <c r="AD13" s="40"/>
      <c r="AE13" s="40"/>
      <c r="AF13" s="41"/>
      <c r="AG13" s="41"/>
      <c r="AH13" s="42"/>
    </row>
    <row r="14" spans="2:34" x14ac:dyDescent="0.35">
      <c r="B14" s="195">
        <v>2000</v>
      </c>
      <c r="C14" s="196" t="s">
        <v>11</v>
      </c>
      <c r="D14" s="197">
        <v>-800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153">
        <f t="shared" si="7"/>
        <v>-800</v>
      </c>
      <c r="P14" s="44"/>
      <c r="Q14" s="43">
        <f t="shared" si="4"/>
        <v>-800</v>
      </c>
      <c r="R14" s="33">
        <f>+Q14</f>
        <v>-800</v>
      </c>
      <c r="S14" s="46"/>
      <c r="T14" s="35"/>
      <c r="U14" s="2"/>
      <c r="V14" s="47"/>
      <c r="W14" s="48">
        <f t="shared" si="6"/>
        <v>0</v>
      </c>
      <c r="X14" s="25"/>
      <c r="Y14" s="38">
        <f t="shared" si="0"/>
        <v>2000</v>
      </c>
      <c r="Z14" s="38" t="str">
        <f t="shared" si="1"/>
        <v>AK</v>
      </c>
      <c r="AA14" s="38">
        <f t="shared" si="2"/>
        <v>-800</v>
      </c>
      <c r="AB14" s="40"/>
      <c r="AC14" s="40"/>
      <c r="AD14" s="40"/>
      <c r="AE14" s="40"/>
      <c r="AF14" s="41"/>
      <c r="AG14" s="41"/>
      <c r="AH14" s="42"/>
    </row>
    <row r="15" spans="2:34" x14ac:dyDescent="0.35">
      <c r="B15" s="195">
        <v>2050</v>
      </c>
      <c r="C15" s="196" t="s">
        <v>12</v>
      </c>
      <c r="D15" s="197">
        <v>-400</v>
      </c>
      <c r="E15" s="44"/>
      <c r="F15" s="44"/>
      <c r="G15" s="44"/>
      <c r="H15" s="44"/>
      <c r="I15" s="44"/>
      <c r="J15" s="44"/>
      <c r="K15" s="44"/>
      <c r="L15" s="44"/>
      <c r="M15" s="44"/>
      <c r="N15" s="44">
        <f>-N35</f>
        <v>-143.5</v>
      </c>
      <c r="O15" s="153">
        <f t="shared" si="7"/>
        <v>-543.5</v>
      </c>
      <c r="P15" s="44"/>
      <c r="Q15" s="43">
        <f t="shared" si="4"/>
        <v>-543.5</v>
      </c>
      <c r="R15" s="33">
        <f>+Q15</f>
        <v>-543.5</v>
      </c>
      <c r="S15" s="46">
        <f>+Q15-R15</f>
        <v>0</v>
      </c>
      <c r="T15" s="35"/>
      <c r="U15" s="35"/>
      <c r="V15" s="47">
        <f t="shared" ref="V15:V20" si="9">-U15+S15</f>
        <v>0</v>
      </c>
      <c r="W15" s="48">
        <f t="shared" si="6"/>
        <v>0</v>
      </c>
      <c r="X15" s="25"/>
      <c r="Y15" s="38">
        <f t="shared" si="0"/>
        <v>2050</v>
      </c>
      <c r="Z15" s="38" t="str">
        <f t="shared" si="1"/>
        <v>Annen egenkapital</v>
      </c>
      <c r="AA15" s="38">
        <f t="shared" si="2"/>
        <v>-400</v>
      </c>
      <c r="AB15" s="40"/>
      <c r="AC15" s="40"/>
      <c r="AD15" s="40"/>
      <c r="AE15" s="40"/>
      <c r="AF15" s="41"/>
      <c r="AG15" s="41"/>
      <c r="AH15" s="42"/>
    </row>
    <row r="16" spans="2:34" x14ac:dyDescent="0.35">
      <c r="B16" s="195">
        <v>2120</v>
      </c>
      <c r="C16" s="196" t="s">
        <v>13</v>
      </c>
      <c r="D16" s="197">
        <f>-H134</f>
        <v>-128.75</v>
      </c>
      <c r="E16" s="44"/>
      <c r="F16" s="44"/>
      <c r="G16" s="44"/>
      <c r="H16" s="44"/>
      <c r="I16" s="44"/>
      <c r="J16" s="44"/>
      <c r="K16" s="44"/>
      <c r="L16" s="44"/>
      <c r="M16" s="44"/>
      <c r="N16" s="44">
        <f>-E145</f>
        <v>64.998249708284717</v>
      </c>
      <c r="O16" s="153">
        <f t="shared" si="7"/>
        <v>-63.751750291715283</v>
      </c>
      <c r="P16" s="44"/>
      <c r="Q16" s="43">
        <f t="shared" si="4"/>
        <v>-63.751750291715283</v>
      </c>
      <c r="R16" s="33">
        <f>+Q16</f>
        <v>-63.751750291715283</v>
      </c>
      <c r="S16" s="46">
        <f>+Q16-R16</f>
        <v>0</v>
      </c>
      <c r="T16" s="35"/>
      <c r="U16" s="35"/>
      <c r="V16" s="47">
        <f t="shared" si="9"/>
        <v>0</v>
      </c>
      <c r="W16" s="48">
        <f t="shared" si="6"/>
        <v>0</v>
      </c>
      <c r="X16" s="25"/>
      <c r="Y16" s="38">
        <f t="shared" si="0"/>
        <v>2120</v>
      </c>
      <c r="Z16" s="38" t="str">
        <f t="shared" si="1"/>
        <v>Utsatt skatt</v>
      </c>
      <c r="AA16" s="38">
        <f t="shared" si="2"/>
        <v>-128.75</v>
      </c>
      <c r="AB16" s="40"/>
      <c r="AC16" s="40"/>
      <c r="AD16" s="40"/>
      <c r="AE16" s="40"/>
      <c r="AF16" s="41"/>
      <c r="AG16" s="41"/>
      <c r="AH16" s="42"/>
    </row>
    <row r="17" spans="2:34" x14ac:dyDescent="0.35">
      <c r="B17" s="195">
        <v>2140</v>
      </c>
      <c r="C17" s="196" t="s">
        <v>14</v>
      </c>
      <c r="D17" s="197">
        <f>+D127</f>
        <v>-40</v>
      </c>
      <c r="E17" s="44"/>
      <c r="F17" s="44"/>
      <c r="G17" s="44"/>
      <c r="H17" s="44">
        <v>10</v>
      </c>
      <c r="I17" s="44"/>
      <c r="J17" s="44"/>
      <c r="K17" s="44"/>
      <c r="L17" s="44"/>
      <c r="M17" s="44"/>
      <c r="N17" s="44"/>
      <c r="O17" s="153">
        <f t="shared" si="7"/>
        <v>-30</v>
      </c>
      <c r="P17" s="44"/>
      <c r="Q17" s="43">
        <f t="shared" si="4"/>
        <v>-30</v>
      </c>
      <c r="R17" s="33">
        <f>+F127</f>
        <v>0</v>
      </c>
      <c r="S17" s="46">
        <f>+Q17-R17</f>
        <v>-30</v>
      </c>
      <c r="T17" s="35"/>
      <c r="U17" s="2">
        <f>+H127</f>
        <v>-40</v>
      </c>
      <c r="V17" s="47">
        <f t="shared" si="9"/>
        <v>10</v>
      </c>
      <c r="W17" s="37">
        <f t="shared" si="6"/>
        <v>10</v>
      </c>
      <c r="X17" s="25"/>
      <c r="Y17" s="38">
        <f t="shared" si="0"/>
        <v>2140</v>
      </c>
      <c r="Z17" s="38" t="str">
        <f t="shared" si="1"/>
        <v>Garantiavsetning</v>
      </c>
      <c r="AA17" s="38">
        <f t="shared" si="2"/>
        <v>-40</v>
      </c>
      <c r="AB17" s="40"/>
      <c r="AC17" s="40"/>
      <c r="AD17" s="40"/>
      <c r="AE17" s="40"/>
      <c r="AF17" s="41"/>
      <c r="AG17" s="41"/>
      <c r="AH17" s="42"/>
    </row>
    <row r="18" spans="2:34" x14ac:dyDescent="0.35">
      <c r="B18" s="195">
        <v>2270</v>
      </c>
      <c r="C18" s="196" t="s">
        <v>15</v>
      </c>
      <c r="D18" s="197">
        <f>+I69/1000</f>
        <v>-78</v>
      </c>
      <c r="E18" s="44"/>
      <c r="F18" s="44"/>
      <c r="G18" s="44"/>
      <c r="H18" s="44"/>
      <c r="I18" s="44"/>
      <c r="J18" s="44">
        <f>+M69</f>
        <v>-2.0000000000000018</v>
      </c>
      <c r="K18" s="45"/>
      <c r="L18" s="45"/>
      <c r="M18" s="44"/>
      <c r="N18" s="44"/>
      <c r="O18" s="153">
        <f t="shared" si="7"/>
        <v>-80</v>
      </c>
      <c r="P18" s="44"/>
      <c r="Q18" s="43">
        <f t="shared" si="4"/>
        <v>-80</v>
      </c>
      <c r="R18" s="33">
        <f>+N148/1000</f>
        <v>0</v>
      </c>
      <c r="S18" s="46"/>
      <c r="T18" s="35"/>
      <c r="U18" s="35">
        <f>+H128</f>
        <v>0</v>
      </c>
      <c r="V18" s="47">
        <f t="shared" si="9"/>
        <v>0</v>
      </c>
      <c r="W18" s="48">
        <f t="shared" si="6"/>
        <v>0</v>
      </c>
      <c r="X18" s="25"/>
      <c r="Y18" s="38">
        <f t="shared" si="0"/>
        <v>2270</v>
      </c>
      <c r="Z18" s="38" t="str">
        <f t="shared" si="1"/>
        <v>Langsiktig valutagjeld</v>
      </c>
      <c r="AA18" s="38">
        <f t="shared" si="2"/>
        <v>-78</v>
      </c>
      <c r="AB18" s="39"/>
      <c r="AC18" s="3"/>
      <c r="AD18" s="40"/>
      <c r="AE18" s="40"/>
      <c r="AF18" s="41"/>
      <c r="AG18" s="41"/>
      <c r="AH18" s="42"/>
    </row>
    <row r="19" spans="2:34" x14ac:dyDescent="0.35">
      <c r="B19" s="195">
        <v>2500</v>
      </c>
      <c r="C19" s="196" t="s">
        <v>16</v>
      </c>
      <c r="D19" s="197">
        <v>4</v>
      </c>
      <c r="E19" s="44"/>
      <c r="F19" s="44"/>
      <c r="G19" s="44"/>
      <c r="H19" s="44"/>
      <c r="I19" s="44"/>
      <c r="J19" s="44"/>
      <c r="K19" s="44"/>
      <c r="L19" s="44"/>
      <c r="M19" s="44">
        <f>-D19</f>
        <v>-4</v>
      </c>
      <c r="N19" s="44">
        <f>-E143</f>
        <v>-123.49824970828472</v>
      </c>
      <c r="O19" s="153">
        <f t="shared" si="7"/>
        <v>-123.49824970828472</v>
      </c>
      <c r="P19" s="44"/>
      <c r="Q19" s="43">
        <f t="shared" si="4"/>
        <v>-123.49824970828472</v>
      </c>
      <c r="R19" s="33">
        <f>+Q19</f>
        <v>-123.49824970828472</v>
      </c>
      <c r="S19" s="46">
        <f>+Q19-R19</f>
        <v>0</v>
      </c>
      <c r="T19" s="35"/>
      <c r="U19" s="35"/>
      <c r="V19" s="47">
        <f t="shared" si="9"/>
        <v>0</v>
      </c>
      <c r="W19" s="48"/>
      <c r="X19" s="25"/>
      <c r="Y19" s="38">
        <f t="shared" si="0"/>
        <v>2500</v>
      </c>
      <c r="Z19" s="38" t="str">
        <f t="shared" si="1"/>
        <v>Betalbar skatt</v>
      </c>
      <c r="AA19" s="38">
        <f t="shared" si="2"/>
        <v>4</v>
      </c>
      <c r="AB19" s="39"/>
      <c r="AC19" s="40"/>
      <c r="AD19" s="40"/>
      <c r="AE19" s="40"/>
      <c r="AF19" s="41"/>
      <c r="AG19" s="41"/>
      <c r="AH19" s="42"/>
    </row>
    <row r="20" spans="2:34" x14ac:dyDescent="0.35">
      <c r="B20" s="195">
        <v>3000</v>
      </c>
      <c r="C20" s="196" t="s">
        <v>17</v>
      </c>
      <c r="D20" s="197">
        <v>-2000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153">
        <f>SUM(D20:N20)</f>
        <v>-2000</v>
      </c>
      <c r="P20" s="44">
        <f t="shared" ref="P20:P35" si="10">+O20</f>
        <v>-2000</v>
      </c>
      <c r="Q20" s="43"/>
      <c r="R20" s="33"/>
      <c r="S20" s="46">
        <f>+Q20-R20</f>
        <v>0</v>
      </c>
      <c r="T20" s="2">
        <f>+P20</f>
        <v>-2000</v>
      </c>
      <c r="U20" s="35"/>
      <c r="V20" s="47">
        <f t="shared" si="9"/>
        <v>0</v>
      </c>
      <c r="W20" s="48"/>
      <c r="X20" s="25"/>
      <c r="Y20" s="38">
        <f t="shared" si="0"/>
        <v>3000</v>
      </c>
      <c r="Z20" s="38" t="str">
        <f t="shared" si="1"/>
        <v>Driftsinntekter</v>
      </c>
      <c r="AA20" s="38">
        <f t="shared" si="2"/>
        <v>-2000</v>
      </c>
      <c r="AB20" s="40"/>
      <c r="AC20" s="40"/>
      <c r="AD20" s="40"/>
      <c r="AE20" s="40"/>
      <c r="AF20" s="41"/>
      <c r="AG20" s="41"/>
      <c r="AH20" s="42"/>
    </row>
    <row r="21" spans="2:34" x14ac:dyDescent="0.35">
      <c r="B21" s="195">
        <v>3800</v>
      </c>
      <c r="C21" s="196" t="s">
        <v>22</v>
      </c>
      <c r="D21" s="197">
        <v>-40</v>
      </c>
      <c r="E21" s="44"/>
      <c r="F21" s="44"/>
      <c r="G21" s="44"/>
      <c r="H21" s="44"/>
      <c r="I21" s="44"/>
      <c r="J21" s="44"/>
      <c r="K21" s="44">
        <v>40</v>
      </c>
      <c r="L21" s="44"/>
      <c r="M21" s="44"/>
      <c r="N21" s="44"/>
      <c r="O21" s="153"/>
      <c r="P21" s="44"/>
      <c r="Q21" s="43"/>
      <c r="R21" s="33"/>
      <c r="S21" s="46"/>
      <c r="T21" s="2"/>
      <c r="U21" s="35"/>
      <c r="V21" s="47"/>
      <c r="W21" s="48"/>
      <c r="X21" s="25"/>
      <c r="Y21" s="38">
        <f t="shared" ref="Y21:Y35" si="11">+B21</f>
        <v>3800</v>
      </c>
      <c r="Z21" s="38" t="str">
        <f t="shared" ref="Z21:Z35" si="12">+C21</f>
        <v>Salg anlegg</v>
      </c>
      <c r="AA21" s="38"/>
      <c r="AB21" s="40"/>
      <c r="AC21" s="40"/>
      <c r="AD21" s="40"/>
      <c r="AE21" s="40"/>
      <c r="AF21" s="41"/>
      <c r="AG21" s="41"/>
      <c r="AH21" s="42"/>
    </row>
    <row r="22" spans="2:34" x14ac:dyDescent="0.35">
      <c r="B22" s="195">
        <v>3801</v>
      </c>
      <c r="C22" s="196" t="s">
        <v>130</v>
      </c>
      <c r="D22" s="197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153"/>
      <c r="P22" s="44"/>
      <c r="Q22" s="43"/>
      <c r="R22" s="33"/>
      <c r="S22" s="46"/>
      <c r="T22" s="2"/>
      <c r="U22" s="35"/>
      <c r="V22" s="47"/>
      <c r="W22" s="48"/>
      <c r="X22" s="25"/>
      <c r="Y22" s="38">
        <f t="shared" si="11"/>
        <v>3801</v>
      </c>
      <c r="Z22" s="38" t="str">
        <f t="shared" si="12"/>
        <v>Gevinst salg anlegg</v>
      </c>
      <c r="AA22" s="38"/>
      <c r="AB22" s="40"/>
      <c r="AC22" s="40"/>
      <c r="AD22" s="40"/>
      <c r="AE22" s="40"/>
      <c r="AF22" s="41"/>
      <c r="AG22" s="41"/>
      <c r="AH22" s="42"/>
    </row>
    <row r="23" spans="2:34" x14ac:dyDescent="0.35">
      <c r="B23" s="195">
        <v>4000</v>
      </c>
      <c r="C23" s="196" t="s">
        <v>18</v>
      </c>
      <c r="D23" s="197">
        <f>+D126</f>
        <v>350</v>
      </c>
      <c r="E23" s="44"/>
      <c r="F23" s="44">
        <f>-F8</f>
        <v>-50</v>
      </c>
      <c r="G23" s="44"/>
      <c r="H23" s="44"/>
      <c r="I23" s="44"/>
      <c r="J23" s="44"/>
      <c r="K23" s="44"/>
      <c r="L23" s="44"/>
      <c r="M23" s="44"/>
      <c r="N23" s="44"/>
      <c r="O23" s="153">
        <f t="shared" ref="O23:O35" si="13">SUM(D23:N23)</f>
        <v>300</v>
      </c>
      <c r="P23" s="44">
        <f t="shared" si="10"/>
        <v>300</v>
      </c>
      <c r="Q23" s="43"/>
      <c r="R23" s="33"/>
      <c r="S23" s="46"/>
      <c r="T23" s="35">
        <f>+D23+F125-G125</f>
        <v>292</v>
      </c>
      <c r="U23" s="35"/>
      <c r="V23" s="47"/>
      <c r="W23" s="37">
        <f t="shared" ref="W23:W28" si="14">+P23-T23</f>
        <v>8</v>
      </c>
      <c r="X23" s="25"/>
      <c r="Y23" s="38">
        <f t="shared" si="11"/>
        <v>4000</v>
      </c>
      <c r="Z23" s="38" t="str">
        <f t="shared" si="12"/>
        <v>Innkjøp råvarer</v>
      </c>
      <c r="AA23" s="38">
        <f t="shared" ref="AA23:AA35" si="15">+D23</f>
        <v>350</v>
      </c>
      <c r="AB23" s="40"/>
      <c r="AC23" s="40"/>
      <c r="AD23" s="40"/>
      <c r="AE23" s="40"/>
      <c r="AF23" s="41"/>
      <c r="AG23" s="41"/>
      <c r="AH23" s="42"/>
    </row>
    <row r="24" spans="2:34" x14ac:dyDescent="0.35">
      <c r="B24" s="195">
        <v>4390</v>
      </c>
      <c r="C24" s="196" t="s">
        <v>19</v>
      </c>
      <c r="D24" s="197"/>
      <c r="E24" s="44"/>
      <c r="F24" s="44"/>
      <c r="G24" s="44">
        <f>-G9</f>
        <v>110</v>
      </c>
      <c r="H24" s="44"/>
      <c r="I24" s="44"/>
      <c r="J24" s="44"/>
      <c r="K24" s="44"/>
      <c r="L24" s="44"/>
      <c r="M24" s="44"/>
      <c r="N24" s="44"/>
      <c r="O24" s="153">
        <f t="shared" si="13"/>
        <v>110</v>
      </c>
      <c r="P24" s="44">
        <f t="shared" si="10"/>
        <v>110</v>
      </c>
      <c r="Q24" s="43"/>
      <c r="R24" s="33"/>
      <c r="S24" s="46"/>
      <c r="T24" s="35">
        <f>+F126-G126</f>
        <v>40</v>
      </c>
      <c r="U24" s="35"/>
      <c r="V24" s="47"/>
      <c r="W24" s="37">
        <f t="shared" si="14"/>
        <v>70</v>
      </c>
      <c r="X24" s="25"/>
      <c r="Y24" s="38">
        <f t="shared" si="11"/>
        <v>4390</v>
      </c>
      <c r="Z24" s="38" t="str">
        <f t="shared" si="12"/>
        <v>Beholdningsendr. F.V.</v>
      </c>
      <c r="AA24" s="38">
        <f t="shared" si="15"/>
        <v>0</v>
      </c>
      <c r="AB24" s="40"/>
      <c r="AC24" s="40"/>
      <c r="AD24" s="40"/>
      <c r="AE24" s="40"/>
      <c r="AF24" s="41"/>
      <c r="AG24" s="41"/>
      <c r="AH24" s="42"/>
    </row>
    <row r="25" spans="2:34" ht="13.3" thickBot="1" x14ac:dyDescent="0.4">
      <c r="B25" s="195">
        <v>7900</v>
      </c>
      <c r="C25" s="196" t="s">
        <v>20</v>
      </c>
      <c r="D25" s="197">
        <v>973</v>
      </c>
      <c r="E25" s="44"/>
      <c r="F25" s="44"/>
      <c r="G25" s="44"/>
      <c r="H25" s="44">
        <f>-H17</f>
        <v>-10</v>
      </c>
      <c r="I25" s="44"/>
      <c r="J25" s="44"/>
      <c r="K25" s="44"/>
      <c r="L25" s="44"/>
      <c r="M25" s="44"/>
      <c r="N25" s="44"/>
      <c r="O25" s="153">
        <f t="shared" si="13"/>
        <v>963</v>
      </c>
      <c r="P25" s="154">
        <f t="shared" si="10"/>
        <v>963</v>
      </c>
      <c r="Q25" s="43"/>
      <c r="R25" s="33"/>
      <c r="S25" s="46">
        <f>+Q25-R25</f>
        <v>0</v>
      </c>
      <c r="T25" s="2">
        <f>+D25+F127-G127</f>
        <v>973</v>
      </c>
      <c r="U25" s="35"/>
      <c r="V25" s="47">
        <f>-U25+S25</f>
        <v>0</v>
      </c>
      <c r="W25" s="51">
        <f t="shared" si="14"/>
        <v>-10</v>
      </c>
      <c r="X25" s="25"/>
      <c r="Y25" s="38">
        <f t="shared" si="11"/>
        <v>7900</v>
      </c>
      <c r="Z25" s="38" t="str">
        <f t="shared" si="12"/>
        <v>Div. driftskostnader</v>
      </c>
      <c r="AA25" s="38">
        <f t="shared" si="15"/>
        <v>973</v>
      </c>
      <c r="AB25" s="40"/>
      <c r="AC25" s="40"/>
      <c r="AD25" s="40"/>
      <c r="AE25" s="40"/>
      <c r="AF25" s="41"/>
      <c r="AG25" s="41"/>
      <c r="AH25" s="42"/>
    </row>
    <row r="26" spans="2:34" x14ac:dyDescent="0.35">
      <c r="B26" s="195">
        <v>6000</v>
      </c>
      <c r="C26" s="196" t="s">
        <v>21</v>
      </c>
      <c r="D26" s="197"/>
      <c r="E26" s="44"/>
      <c r="F26" s="44"/>
      <c r="G26" s="44"/>
      <c r="H26" s="44"/>
      <c r="I26" s="44"/>
      <c r="J26" s="44"/>
      <c r="K26" s="44">
        <f>+I90</f>
        <v>303</v>
      </c>
      <c r="L26" s="44"/>
      <c r="M26" s="44"/>
      <c r="N26" s="44"/>
      <c r="O26" s="153">
        <f t="shared" si="13"/>
        <v>303</v>
      </c>
      <c r="P26" s="44">
        <f t="shared" si="10"/>
        <v>303</v>
      </c>
      <c r="Q26" s="43"/>
      <c r="R26" s="33"/>
      <c r="S26" s="46">
        <f>+Q26-R26</f>
        <v>0</v>
      </c>
      <c r="T26" s="2">
        <f>+I108</f>
        <v>172</v>
      </c>
      <c r="U26" s="35"/>
      <c r="V26" s="47">
        <f>-U26+S26</f>
        <v>0</v>
      </c>
      <c r="W26" s="52">
        <f t="shared" si="14"/>
        <v>131</v>
      </c>
      <c r="X26" s="25"/>
      <c r="Y26" s="38">
        <f t="shared" si="11"/>
        <v>6000</v>
      </c>
      <c r="Z26" s="38" t="str">
        <f t="shared" si="12"/>
        <v>Avskrivninger</v>
      </c>
      <c r="AA26" s="38">
        <f t="shared" si="15"/>
        <v>0</v>
      </c>
      <c r="AC26" s="3"/>
      <c r="AD26" s="40"/>
      <c r="AE26" s="40"/>
      <c r="AF26" s="41"/>
      <c r="AG26" s="41"/>
      <c r="AH26" s="42"/>
    </row>
    <row r="27" spans="2:34" ht="13.3" thickBot="1" x14ac:dyDescent="0.4">
      <c r="B27" s="195">
        <v>6015</v>
      </c>
      <c r="C27" s="196" t="s">
        <v>131</v>
      </c>
      <c r="D27" s="197"/>
      <c r="E27" s="44"/>
      <c r="F27" s="44"/>
      <c r="G27" s="44"/>
      <c r="H27" s="44"/>
      <c r="I27" s="44"/>
      <c r="J27" s="44"/>
      <c r="K27" s="44">
        <v>5</v>
      </c>
      <c r="L27" s="44"/>
      <c r="M27" s="44"/>
      <c r="N27" s="44"/>
      <c r="O27" s="153">
        <f t="shared" si="13"/>
        <v>5</v>
      </c>
      <c r="P27" s="44">
        <f t="shared" si="10"/>
        <v>5</v>
      </c>
      <c r="Q27" s="43"/>
      <c r="R27" s="33"/>
      <c r="S27" s="46">
        <f>+Q27-R27</f>
        <v>0</v>
      </c>
      <c r="T27" s="35"/>
      <c r="U27" s="35"/>
      <c r="V27" s="47">
        <f>-U27+S27</f>
        <v>0</v>
      </c>
      <c r="W27" s="53">
        <f t="shared" si="14"/>
        <v>5</v>
      </c>
      <c r="X27" s="25"/>
      <c r="Y27" s="38">
        <f t="shared" si="11"/>
        <v>6015</v>
      </c>
      <c r="Z27" s="38" t="str">
        <f t="shared" si="12"/>
        <v>Tap salg anlegg</v>
      </c>
      <c r="AA27" s="38">
        <f t="shared" si="15"/>
        <v>0</v>
      </c>
      <c r="AB27" s="39"/>
      <c r="AC27" s="40"/>
      <c r="AD27" s="40"/>
      <c r="AE27" s="40"/>
      <c r="AF27" s="41"/>
      <c r="AG27" s="41"/>
      <c r="AH27" s="42"/>
    </row>
    <row r="28" spans="2:34" x14ac:dyDescent="0.35">
      <c r="B28" s="195">
        <v>7830</v>
      </c>
      <c r="C28" s="196" t="s">
        <v>23</v>
      </c>
      <c r="D28" s="197">
        <v>70</v>
      </c>
      <c r="E28" s="44">
        <f>-E11</f>
        <v>3</v>
      </c>
      <c r="F28" s="44"/>
      <c r="G28" s="44"/>
      <c r="H28" s="44"/>
      <c r="I28" s="44"/>
      <c r="J28" s="44"/>
      <c r="K28" s="44"/>
      <c r="L28" s="44"/>
      <c r="M28" s="44"/>
      <c r="N28" s="44"/>
      <c r="O28" s="153">
        <f t="shared" si="13"/>
        <v>73</v>
      </c>
      <c r="P28" s="32">
        <f t="shared" si="10"/>
        <v>73</v>
      </c>
      <c r="Q28" s="43"/>
      <c r="R28" s="33"/>
      <c r="S28" s="46">
        <f>+Q28-R28</f>
        <v>0</v>
      </c>
      <c r="T28" s="2">
        <f>+D28+F124-G124</f>
        <v>75.007001166861144</v>
      </c>
      <c r="U28" s="35"/>
      <c r="V28" s="47">
        <f>-U28+S28</f>
        <v>0</v>
      </c>
      <c r="W28" s="54">
        <f t="shared" si="14"/>
        <v>-2.0070011668611443</v>
      </c>
      <c r="X28" s="25"/>
      <c r="Y28" s="38">
        <f t="shared" si="11"/>
        <v>7830</v>
      </c>
      <c r="Z28" s="38" t="str">
        <f t="shared" si="12"/>
        <v>Tap på fordringer</v>
      </c>
      <c r="AA28" s="38">
        <f t="shared" si="15"/>
        <v>70</v>
      </c>
      <c r="AB28" s="40"/>
      <c r="AC28" s="40"/>
      <c r="AD28" s="40"/>
      <c r="AE28" s="40"/>
      <c r="AF28" s="41"/>
      <c r="AG28" s="41"/>
      <c r="AH28" s="42"/>
    </row>
    <row r="29" spans="2:34" x14ac:dyDescent="0.35">
      <c r="B29" s="195">
        <v>8170</v>
      </c>
      <c r="C29" s="196" t="s">
        <v>24</v>
      </c>
      <c r="D29" s="197">
        <v>-12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153">
        <f t="shared" si="13"/>
        <v>-12</v>
      </c>
      <c r="P29" s="44">
        <f t="shared" si="10"/>
        <v>-12</v>
      </c>
      <c r="Q29" s="43"/>
      <c r="R29" s="33"/>
      <c r="S29" s="46"/>
      <c r="T29" s="2"/>
      <c r="U29" s="35"/>
      <c r="V29" s="47"/>
      <c r="W29" s="48"/>
      <c r="X29" s="25"/>
      <c r="Y29" s="38">
        <f t="shared" si="11"/>
        <v>8170</v>
      </c>
      <c r="Z29" s="38" t="str">
        <f t="shared" si="12"/>
        <v>Utbytte aksjer</v>
      </c>
      <c r="AA29" s="38">
        <f t="shared" si="15"/>
        <v>-12</v>
      </c>
      <c r="AB29" s="40"/>
      <c r="AC29" s="40"/>
      <c r="AD29" s="40"/>
      <c r="AE29" s="40"/>
      <c r="AF29" s="41"/>
      <c r="AG29" s="41"/>
      <c r="AH29" s="42"/>
    </row>
    <row r="30" spans="2:34" x14ac:dyDescent="0.35">
      <c r="B30" s="195">
        <v>8060</v>
      </c>
      <c r="C30" s="196" t="s">
        <v>25</v>
      </c>
      <c r="D30" s="197">
        <v>-5</v>
      </c>
      <c r="E30" s="44"/>
      <c r="F30" s="44"/>
      <c r="G30" s="44"/>
      <c r="H30" s="44"/>
      <c r="I30" s="44"/>
      <c r="J30" s="44">
        <f>IF(J7&gt;0,-J7,0)+IF(J18&gt;0,-J18,0)</f>
        <v>-5</v>
      </c>
      <c r="K30" s="45"/>
      <c r="L30" s="45"/>
      <c r="M30" s="44"/>
      <c r="N30" s="44"/>
      <c r="O30" s="153">
        <f t="shared" si="13"/>
        <v>-10</v>
      </c>
      <c r="P30" s="44">
        <f t="shared" si="10"/>
        <v>-10</v>
      </c>
      <c r="Q30" s="43"/>
      <c r="R30" s="33"/>
      <c r="S30" s="46">
        <f>+Q30-R30</f>
        <v>0</v>
      </c>
      <c r="T30" s="2" t="e">
        <f>+#REF!</f>
        <v>#REF!</v>
      </c>
      <c r="U30" s="35"/>
      <c r="V30" s="47">
        <f>-U30+S30</f>
        <v>0</v>
      </c>
      <c r="W30" s="48"/>
      <c r="X30" s="25"/>
      <c r="Y30" s="38">
        <f t="shared" si="11"/>
        <v>8060</v>
      </c>
      <c r="Z30" s="38" t="str">
        <f t="shared" si="12"/>
        <v>Valutagevinst</v>
      </c>
      <c r="AA30" s="38">
        <f t="shared" si="15"/>
        <v>-5</v>
      </c>
      <c r="AB30" s="39"/>
      <c r="AC30" s="3"/>
      <c r="AD30" s="40"/>
      <c r="AE30" s="40"/>
      <c r="AF30" s="41"/>
      <c r="AG30" s="41"/>
      <c r="AH30" s="42"/>
    </row>
    <row r="31" spans="2:34" x14ac:dyDescent="0.35">
      <c r="B31" s="195">
        <v>8160</v>
      </c>
      <c r="C31" s="196" t="s">
        <v>26</v>
      </c>
      <c r="D31" s="197">
        <v>20</v>
      </c>
      <c r="E31" s="44"/>
      <c r="F31" s="44"/>
      <c r="G31" s="44"/>
      <c r="H31" s="44"/>
      <c r="I31" s="44"/>
      <c r="J31" s="44">
        <f>IF(J18&lt;0,-J18,0)+IF(J7&lt;0,-J7,0)</f>
        <v>2.0000000000000018</v>
      </c>
      <c r="K31" s="45"/>
      <c r="L31" s="45"/>
      <c r="M31" s="44"/>
      <c r="N31" s="44"/>
      <c r="O31" s="153">
        <f t="shared" si="13"/>
        <v>22</v>
      </c>
      <c r="P31" s="44">
        <f t="shared" si="10"/>
        <v>22</v>
      </c>
      <c r="Q31" s="43"/>
      <c r="R31" s="33"/>
      <c r="S31" s="46">
        <f>+Q31-R31</f>
        <v>0</v>
      </c>
      <c r="T31" s="2">
        <f>+D31</f>
        <v>20</v>
      </c>
      <c r="U31" s="35"/>
      <c r="V31" s="47">
        <f>-U31+S31</f>
        <v>0</v>
      </c>
      <c r="W31" s="37" t="e">
        <f>+(P30+P31)-(T30+T31)</f>
        <v>#REF!</v>
      </c>
      <c r="X31" s="25" t="s">
        <v>88</v>
      </c>
      <c r="Y31" s="38">
        <f t="shared" si="11"/>
        <v>8160</v>
      </c>
      <c r="Z31" s="38" t="str">
        <f t="shared" si="12"/>
        <v>Valutatap</v>
      </c>
      <c r="AA31" s="38">
        <f t="shared" si="15"/>
        <v>20</v>
      </c>
      <c r="AB31" s="39"/>
      <c r="AC31" s="3"/>
      <c r="AD31" s="40"/>
      <c r="AE31" s="40"/>
      <c r="AF31" s="41"/>
      <c r="AG31" s="41"/>
      <c r="AH31" s="42"/>
    </row>
    <row r="32" spans="2:34" x14ac:dyDescent="0.35">
      <c r="B32" s="195">
        <v>8170</v>
      </c>
      <c r="C32" s="196" t="s">
        <v>27</v>
      </c>
      <c r="D32" s="197"/>
      <c r="E32" s="44"/>
      <c r="F32" s="44"/>
      <c r="G32" s="44"/>
      <c r="H32" s="151"/>
      <c r="I32" s="44">
        <f>-I12</f>
        <v>40</v>
      </c>
      <c r="J32" s="44"/>
      <c r="K32" s="44"/>
      <c r="L32" s="44"/>
      <c r="M32" s="44"/>
      <c r="N32" s="44"/>
      <c r="O32" s="153">
        <f t="shared" si="13"/>
        <v>40</v>
      </c>
      <c r="P32" s="44">
        <f t="shared" si="10"/>
        <v>40</v>
      </c>
      <c r="Q32" s="43"/>
      <c r="R32" s="33"/>
      <c r="S32" s="55"/>
      <c r="T32" s="46"/>
      <c r="U32" s="35"/>
      <c r="V32" s="47"/>
      <c r="W32" s="37"/>
      <c r="X32" s="25"/>
      <c r="Y32" s="38">
        <f t="shared" si="11"/>
        <v>8170</v>
      </c>
      <c r="Z32" s="38" t="str">
        <f t="shared" si="12"/>
        <v>Kursjusteringer aksjer</v>
      </c>
      <c r="AA32" s="38">
        <f t="shared" si="15"/>
        <v>0</v>
      </c>
      <c r="AB32" s="40"/>
      <c r="AC32" s="40"/>
      <c r="AD32" s="40"/>
      <c r="AE32" s="40"/>
      <c r="AF32" s="41"/>
      <c r="AG32" s="41"/>
      <c r="AH32" s="42"/>
    </row>
    <row r="33" spans="2:34" x14ac:dyDescent="0.35">
      <c r="B33" s="195">
        <v>8300</v>
      </c>
      <c r="C33" s="196" t="s">
        <v>16</v>
      </c>
      <c r="D33" s="197"/>
      <c r="E33" s="44"/>
      <c r="F33" s="44"/>
      <c r="G33" s="44"/>
      <c r="H33" s="44"/>
      <c r="I33" s="44"/>
      <c r="J33" s="44"/>
      <c r="K33" s="44"/>
      <c r="L33" s="44"/>
      <c r="M33" s="44">
        <f>-M19</f>
        <v>4</v>
      </c>
      <c r="N33" s="44">
        <f>+E143</f>
        <v>123.49824970828472</v>
      </c>
      <c r="O33" s="153">
        <f t="shared" si="13"/>
        <v>127.49824970828472</v>
      </c>
      <c r="P33" s="44">
        <f t="shared" si="10"/>
        <v>127.49824970828472</v>
      </c>
      <c r="Q33" s="43"/>
      <c r="R33" s="33"/>
      <c r="S33" s="46">
        <f>+Q33-R33</f>
        <v>0</v>
      </c>
      <c r="T33" s="35"/>
      <c r="U33" s="35"/>
      <c r="V33" s="47">
        <f>-U33+S33</f>
        <v>0</v>
      </c>
      <c r="W33" s="48"/>
      <c r="X33" s="25"/>
      <c r="Y33" s="38">
        <f t="shared" si="11"/>
        <v>8300</v>
      </c>
      <c r="Z33" s="38" t="str">
        <f t="shared" si="12"/>
        <v>Betalbar skatt</v>
      </c>
      <c r="AA33" s="38">
        <f t="shared" si="15"/>
        <v>0</v>
      </c>
      <c r="AB33" s="40"/>
      <c r="AC33" s="40"/>
      <c r="AD33" s="40"/>
      <c r="AE33" s="40"/>
      <c r="AF33" s="41"/>
      <c r="AG33" s="41"/>
      <c r="AH33" s="42"/>
    </row>
    <row r="34" spans="2:34" x14ac:dyDescent="0.35">
      <c r="B34" s="195">
        <v>8320</v>
      </c>
      <c r="C34" s="196" t="s">
        <v>28</v>
      </c>
      <c r="D34" s="197"/>
      <c r="E34" s="44"/>
      <c r="F34" s="44"/>
      <c r="G34" s="44"/>
      <c r="H34" s="44"/>
      <c r="I34" s="44"/>
      <c r="J34" s="44"/>
      <c r="K34" s="44"/>
      <c r="L34" s="44"/>
      <c r="M34" s="44"/>
      <c r="N34" s="44">
        <f>E145</f>
        <v>-64.998249708284717</v>
      </c>
      <c r="O34" s="153">
        <f t="shared" si="13"/>
        <v>-64.998249708284717</v>
      </c>
      <c r="P34" s="44">
        <f t="shared" si="10"/>
        <v>-64.998249708284717</v>
      </c>
      <c r="Q34" s="43"/>
      <c r="R34" s="33"/>
      <c r="S34" s="46"/>
      <c r="T34" s="35"/>
      <c r="U34" s="35"/>
      <c r="V34" s="47"/>
      <c r="W34" s="48"/>
      <c r="X34" s="25"/>
      <c r="Y34" s="38">
        <f t="shared" si="11"/>
        <v>8320</v>
      </c>
      <c r="Z34" s="38" t="str">
        <f t="shared" si="12"/>
        <v>Endring utsatt skatt</v>
      </c>
      <c r="AA34" s="38">
        <f t="shared" si="15"/>
        <v>0</v>
      </c>
      <c r="AB34" s="40"/>
      <c r="AC34" s="40"/>
      <c r="AD34" s="40"/>
      <c r="AE34" s="40"/>
      <c r="AF34" s="41"/>
      <c r="AG34" s="41"/>
      <c r="AH34" s="42"/>
    </row>
    <row r="35" spans="2:34" ht="13.3" thickBot="1" x14ac:dyDescent="0.4">
      <c r="B35" s="198">
        <v>8900</v>
      </c>
      <c r="C35" s="199" t="s">
        <v>1</v>
      </c>
      <c r="D35" s="200"/>
      <c r="E35" s="154"/>
      <c r="F35" s="154"/>
      <c r="G35" s="154"/>
      <c r="H35" s="154"/>
      <c r="I35" s="154"/>
      <c r="J35" s="154"/>
      <c r="K35" s="154"/>
      <c r="L35" s="154"/>
      <c r="M35" s="154"/>
      <c r="N35" s="154">
        <f>+F147</f>
        <v>143.5</v>
      </c>
      <c r="O35" s="155">
        <f t="shared" si="13"/>
        <v>143.5</v>
      </c>
      <c r="P35" s="154">
        <f t="shared" si="10"/>
        <v>143.5</v>
      </c>
      <c r="Q35" s="156"/>
      <c r="R35" s="33"/>
      <c r="S35" s="46">
        <f>+Q35-R35</f>
        <v>0</v>
      </c>
      <c r="T35" s="35"/>
      <c r="U35" s="35"/>
      <c r="V35" s="47">
        <f>-U35+S35</f>
        <v>0</v>
      </c>
      <c r="W35" s="48"/>
      <c r="X35" s="25"/>
      <c r="Y35" s="38">
        <f t="shared" si="11"/>
        <v>8900</v>
      </c>
      <c r="Z35" s="38" t="str">
        <f t="shared" si="12"/>
        <v>Resultat</v>
      </c>
      <c r="AA35" s="38">
        <f t="shared" si="15"/>
        <v>0</v>
      </c>
      <c r="AB35" s="40"/>
      <c r="AC35" s="40"/>
      <c r="AD35" s="40"/>
      <c r="AE35" s="40"/>
      <c r="AF35" s="41"/>
      <c r="AG35" s="41"/>
      <c r="AH35" s="42"/>
    </row>
    <row r="36" spans="2:34" ht="13.3" thickBot="1" x14ac:dyDescent="0.4">
      <c r="B36" s="195"/>
      <c r="C36" s="196"/>
      <c r="D36" s="197">
        <f>SUM(D6:D35)</f>
        <v>0</v>
      </c>
      <c r="E36" s="44">
        <f t="shared" ref="E36:L36" si="16">SUM(I6:I35)</f>
        <v>0</v>
      </c>
      <c r="F36" s="44">
        <f t="shared" si="16"/>
        <v>0</v>
      </c>
      <c r="G36" s="44">
        <f t="shared" si="16"/>
        <v>0</v>
      </c>
      <c r="H36" s="44">
        <f t="shared" si="16"/>
        <v>0</v>
      </c>
      <c r="I36" s="44">
        <f t="shared" si="16"/>
        <v>0</v>
      </c>
      <c r="J36" s="44">
        <f t="shared" si="16"/>
        <v>0</v>
      </c>
      <c r="K36" s="44">
        <f t="shared" si="16"/>
        <v>0</v>
      </c>
      <c r="L36" s="44">
        <f t="shared" si="16"/>
        <v>0</v>
      </c>
      <c r="M36" s="44">
        <f>SUM(P6:P35)</f>
        <v>0</v>
      </c>
      <c r="N36" s="44">
        <f>SUM(Q6:Q35)</f>
        <v>0</v>
      </c>
      <c r="O36" s="153">
        <f>SUM(O6:O35)</f>
        <v>0</v>
      </c>
      <c r="P36" s="44">
        <f>SUM(P6:P35)</f>
        <v>0</v>
      </c>
      <c r="Q36" s="43">
        <f>SUM(Q6:Q35)</f>
        <v>0</v>
      </c>
      <c r="R36" s="56">
        <f>SUM(U6:U35)</f>
        <v>215</v>
      </c>
      <c r="S36" s="57">
        <f>SUM(V6:V35)</f>
        <v>-201.99299883313887</v>
      </c>
      <c r="T36" s="58" t="e">
        <f>SUM(W6:W35)</f>
        <v>#REF!</v>
      </c>
      <c r="U36" s="59"/>
      <c r="V36" s="60">
        <f>+B36</f>
        <v>0</v>
      </c>
      <c r="W36" s="60">
        <f>+C36</f>
        <v>0</v>
      </c>
      <c r="X36" s="60">
        <f>+D36</f>
        <v>0</v>
      </c>
      <c r="Y36" s="61"/>
      <c r="Z36" s="61"/>
      <c r="AA36" s="61"/>
      <c r="AB36" s="61"/>
      <c r="AC36" s="61"/>
      <c r="AD36" s="61"/>
      <c r="AE36" s="62"/>
    </row>
    <row r="37" spans="2:34" hidden="1" x14ac:dyDescent="0.35">
      <c r="B37" s="24"/>
      <c r="C37" s="25"/>
      <c r="D37" s="25">
        <f>+SUM(D6:D12)+SUM(D14:D35)</f>
        <v>-134.75</v>
      </c>
      <c r="E37" s="25"/>
      <c r="F37" s="25"/>
      <c r="G37" s="25"/>
      <c r="H37" s="25"/>
      <c r="I37" s="25"/>
      <c r="J37" s="25"/>
      <c r="K37" s="25" t="s">
        <v>89</v>
      </c>
      <c r="L37" s="63">
        <f>+O36+P36</f>
        <v>0</v>
      </c>
      <c r="M37" s="25"/>
      <c r="N37" s="64">
        <f>+E141+Q36</f>
        <v>493.99299883313887</v>
      </c>
      <c r="O37" s="25"/>
      <c r="P37" s="25">
        <f>+J133-S36</f>
        <v>461.98599766627774</v>
      </c>
      <c r="Q37" s="25"/>
      <c r="R37" s="25"/>
      <c r="S37" s="25"/>
      <c r="T37" s="25"/>
      <c r="U37" s="25"/>
    </row>
    <row r="38" spans="2:34" x14ac:dyDescent="0.35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63"/>
      <c r="M38" s="25"/>
      <c r="N38" s="64"/>
      <c r="O38" s="25"/>
      <c r="P38" s="25"/>
      <c r="Q38" s="25"/>
      <c r="R38" s="25"/>
      <c r="S38" s="25"/>
      <c r="T38" s="25"/>
      <c r="U38" s="25"/>
    </row>
    <row r="39" spans="2:34" x14ac:dyDescent="0.35">
      <c r="B39" s="24"/>
      <c r="C39" s="7" t="s">
        <v>90</v>
      </c>
      <c r="D39" s="25"/>
      <c r="E39" s="25"/>
      <c r="F39" s="25"/>
      <c r="G39" s="25"/>
      <c r="H39" s="25"/>
      <c r="I39" s="25"/>
      <c r="J39" s="25"/>
      <c r="K39" s="25"/>
      <c r="L39" s="63"/>
      <c r="M39" s="25"/>
      <c r="N39" s="64"/>
      <c r="O39" s="25"/>
      <c r="P39" s="25"/>
      <c r="Q39" s="25"/>
      <c r="R39" s="25" t="e">
        <f>SUM(W23:W32)+#REF!</f>
        <v>#REF!</v>
      </c>
      <c r="S39" s="25"/>
      <c r="T39" s="25"/>
      <c r="U39" s="25"/>
    </row>
    <row r="40" spans="2:34" x14ac:dyDescent="0.35">
      <c r="B40" s="24"/>
      <c r="C40" s="25"/>
      <c r="D40" s="26"/>
      <c r="E40" s="26"/>
      <c r="F40" s="25"/>
      <c r="G40" s="26"/>
      <c r="H40" s="26"/>
      <c r="I40" s="26"/>
      <c r="J40" s="26"/>
      <c r="K40" s="26"/>
      <c r="L40" s="26"/>
      <c r="M40" s="26"/>
      <c r="N40" s="28"/>
      <c r="O40" s="25"/>
      <c r="P40" s="25"/>
      <c r="Q40" s="25"/>
      <c r="R40" s="25"/>
      <c r="S40" s="25"/>
      <c r="T40" s="25"/>
      <c r="U40" s="25"/>
    </row>
    <row r="41" spans="2:34" x14ac:dyDescent="0.35">
      <c r="B41" s="5">
        <v>1</v>
      </c>
      <c r="C41" s="183" t="s">
        <v>7</v>
      </c>
      <c r="D41" s="101" t="s">
        <v>29</v>
      </c>
      <c r="E41" s="101" t="s">
        <v>30</v>
      </c>
      <c r="F41" s="25"/>
      <c r="M41" s="26"/>
      <c r="N41" s="28"/>
      <c r="O41" s="26"/>
      <c r="P41" s="25"/>
      <c r="R41" s="25"/>
      <c r="S41" s="25"/>
      <c r="T41" s="25"/>
      <c r="U41" s="25"/>
    </row>
    <row r="42" spans="2:34" x14ac:dyDescent="0.35">
      <c r="B42" s="24"/>
      <c r="C42" s="25" t="s">
        <v>31</v>
      </c>
      <c r="D42" s="165">
        <v>1628</v>
      </c>
      <c r="E42" s="165">
        <v>1800</v>
      </c>
      <c r="F42" s="25"/>
      <c r="M42" s="26"/>
      <c r="N42" s="28"/>
      <c r="O42" s="26"/>
      <c r="P42" s="25"/>
      <c r="R42" s="25"/>
      <c r="S42" s="25"/>
      <c r="T42" s="25"/>
      <c r="U42" s="25"/>
    </row>
    <row r="43" spans="2:34" x14ac:dyDescent="0.35">
      <c r="B43" s="24"/>
      <c r="C43" s="25" t="s">
        <v>32</v>
      </c>
      <c r="D43" s="165">
        <v>50</v>
      </c>
      <c r="E43" s="165">
        <f>+D28</f>
        <v>70</v>
      </c>
      <c r="F43" s="25"/>
      <c r="M43" s="26"/>
      <c r="N43" s="28"/>
      <c r="O43" s="26"/>
      <c r="P43" s="25"/>
      <c r="R43" s="25"/>
      <c r="S43" s="25"/>
      <c r="T43" s="25"/>
      <c r="U43" s="25"/>
    </row>
    <row r="44" spans="2:34" x14ac:dyDescent="0.35">
      <c r="B44" s="24"/>
      <c r="C44" s="25" t="s">
        <v>33</v>
      </c>
      <c r="D44" s="165">
        <v>4</v>
      </c>
      <c r="E44" s="26"/>
      <c r="F44" s="25"/>
      <c r="M44" s="26"/>
      <c r="N44" s="28"/>
      <c r="O44" s="26"/>
      <c r="P44" s="25"/>
      <c r="R44" s="25"/>
      <c r="S44" s="25"/>
      <c r="T44" s="25"/>
      <c r="U44" s="25"/>
    </row>
    <row r="45" spans="2:34" x14ac:dyDescent="0.35">
      <c r="B45" s="24"/>
      <c r="C45" s="25" t="s">
        <v>34</v>
      </c>
      <c r="D45" s="25">
        <f>+D43+E43</f>
        <v>120</v>
      </c>
      <c r="E45" s="25">
        <f>+D42+E42</f>
        <v>3428</v>
      </c>
      <c r="F45" s="66">
        <f>+D45/E45</f>
        <v>3.5005834305717617E-2</v>
      </c>
      <c r="G45" s="157">
        <f>+F45*4</f>
        <v>0.14002333722287047</v>
      </c>
      <c r="M45" s="26"/>
      <c r="N45" s="28"/>
      <c r="O45" s="26"/>
      <c r="P45" s="25"/>
      <c r="R45" s="25"/>
      <c r="S45" s="25"/>
      <c r="T45" s="25"/>
      <c r="U45" s="25"/>
    </row>
    <row r="46" spans="2:34" x14ac:dyDescent="0.35">
      <c r="B46" s="24"/>
      <c r="C46" s="29" t="s">
        <v>133</v>
      </c>
      <c r="D46" s="25">
        <f>+D10</f>
        <v>300</v>
      </c>
      <c r="E46" s="67">
        <f>+G45</f>
        <v>0.14002333722287047</v>
      </c>
      <c r="F46" s="167">
        <f>+D46*E46</f>
        <v>42.007001166861144</v>
      </c>
      <c r="G46" s="69"/>
      <c r="M46" s="26"/>
      <c r="N46" s="28"/>
      <c r="O46" s="26"/>
      <c r="P46" s="25"/>
      <c r="R46" s="25"/>
      <c r="S46" s="25"/>
      <c r="T46" s="25"/>
      <c r="U46" s="25"/>
    </row>
    <row r="47" spans="2:34" x14ac:dyDescent="0.35">
      <c r="B47" s="24"/>
      <c r="D47" s="25"/>
      <c r="E47" s="67"/>
      <c r="F47" s="68"/>
      <c r="G47" s="69"/>
      <c r="M47" s="26"/>
      <c r="N47" s="28"/>
      <c r="O47" s="26"/>
      <c r="P47" s="25"/>
      <c r="R47" s="25"/>
      <c r="S47" s="25"/>
      <c r="T47" s="25"/>
      <c r="U47" s="25"/>
    </row>
    <row r="48" spans="2:34" x14ac:dyDescent="0.35">
      <c r="B48" s="24"/>
      <c r="C48" s="29" t="s">
        <v>141</v>
      </c>
      <c r="D48" s="25">
        <f>+D46</f>
        <v>300</v>
      </c>
      <c r="E48" s="166">
        <v>0.05</v>
      </c>
      <c r="F48" s="68">
        <f>+D48*E48</f>
        <v>15</v>
      </c>
      <c r="H48" s="26"/>
      <c r="I48" s="26"/>
      <c r="J48" s="26"/>
      <c r="K48" s="26"/>
      <c r="L48" s="26"/>
      <c r="M48" s="26"/>
      <c r="N48" s="28"/>
      <c r="O48" s="26"/>
      <c r="P48" s="25"/>
      <c r="R48" s="25"/>
      <c r="S48" s="25"/>
      <c r="T48" s="25"/>
      <c r="U48" s="25"/>
    </row>
    <row r="49" spans="2:21" x14ac:dyDescent="0.35">
      <c r="B49" s="24"/>
      <c r="C49" s="29" t="s">
        <v>91</v>
      </c>
      <c r="D49" s="26"/>
      <c r="E49" s="25"/>
      <c r="F49" s="68">
        <f>+D11</f>
        <v>-12</v>
      </c>
      <c r="H49" s="26"/>
      <c r="I49" s="26"/>
      <c r="J49" s="26"/>
      <c r="K49" s="26"/>
      <c r="L49" s="26"/>
      <c r="M49" s="26"/>
      <c r="N49" s="28"/>
      <c r="O49" s="26"/>
      <c r="P49" s="25"/>
      <c r="R49" s="25"/>
      <c r="S49" s="25"/>
      <c r="T49" s="25"/>
      <c r="U49" s="25"/>
    </row>
    <row r="50" spans="2:21" x14ac:dyDescent="0.35">
      <c r="B50" s="24"/>
      <c r="C50" s="29" t="s">
        <v>92</v>
      </c>
      <c r="D50" s="26"/>
      <c r="E50" s="25"/>
      <c r="F50" s="158">
        <f>SUM(F48:F49)</f>
        <v>3</v>
      </c>
      <c r="H50" s="26"/>
      <c r="I50" s="26"/>
      <c r="J50" s="26"/>
      <c r="K50" s="26"/>
      <c r="L50" s="26"/>
      <c r="M50" s="26"/>
      <c r="N50" s="28"/>
      <c r="O50" s="26"/>
      <c r="P50" s="25"/>
      <c r="R50" s="25"/>
      <c r="S50" s="25"/>
      <c r="T50" s="25"/>
      <c r="U50" s="25"/>
    </row>
    <row r="51" spans="2:21" x14ac:dyDescent="0.35">
      <c r="B51" s="24"/>
      <c r="D51" s="26"/>
      <c r="E51" s="25"/>
      <c r="F51" s="70"/>
      <c r="H51" s="26"/>
      <c r="I51" s="26"/>
      <c r="J51" s="26"/>
      <c r="K51" s="26"/>
      <c r="L51" s="26"/>
      <c r="M51" s="26"/>
      <c r="N51" s="28"/>
      <c r="O51" s="26"/>
      <c r="P51" s="25"/>
      <c r="R51" s="25"/>
      <c r="S51" s="25"/>
      <c r="T51" s="25"/>
      <c r="U51" s="25"/>
    </row>
    <row r="52" spans="2:21" x14ac:dyDescent="0.35">
      <c r="B52" s="5">
        <v>2</v>
      </c>
      <c r="C52" s="29" t="s">
        <v>93</v>
      </c>
      <c r="D52" s="26"/>
      <c r="E52" s="25"/>
      <c r="F52" s="70">
        <v>150</v>
      </c>
      <c r="H52" s="26"/>
      <c r="I52" s="26"/>
      <c r="J52" s="26"/>
      <c r="K52" s="26"/>
      <c r="L52" s="26"/>
      <c r="M52" s="26"/>
      <c r="N52" s="28"/>
      <c r="O52" s="26"/>
      <c r="P52" s="25"/>
      <c r="R52" s="25"/>
      <c r="S52" s="25"/>
      <c r="T52" s="25"/>
      <c r="U52" s="25"/>
    </row>
    <row r="53" spans="2:21" x14ac:dyDescent="0.35">
      <c r="B53" s="24"/>
      <c r="C53" s="29" t="s">
        <v>94</v>
      </c>
      <c r="D53" s="26"/>
      <c r="E53" s="25"/>
      <c r="F53" s="70">
        <f>-D8</f>
        <v>-100</v>
      </c>
      <c r="H53" s="26"/>
      <c r="I53" s="26"/>
      <c r="J53" s="26"/>
      <c r="K53" s="26"/>
      <c r="L53" s="26"/>
      <c r="M53" s="26"/>
      <c r="N53" s="28"/>
      <c r="O53" s="26"/>
      <c r="P53" s="25"/>
      <c r="R53" s="25"/>
      <c r="S53" s="25"/>
      <c r="T53" s="25"/>
      <c r="U53" s="25"/>
    </row>
    <row r="54" spans="2:21" x14ac:dyDescent="0.35">
      <c r="B54" s="24"/>
      <c r="C54" s="29" t="s">
        <v>92</v>
      </c>
      <c r="D54" s="26"/>
      <c r="E54" s="25"/>
      <c r="F54" s="158">
        <f>SUM(F52:F53)</f>
        <v>50</v>
      </c>
      <c r="H54" s="26"/>
      <c r="I54" s="26"/>
      <c r="J54" s="26"/>
      <c r="K54" s="26"/>
      <c r="L54" s="26"/>
      <c r="M54" s="26"/>
      <c r="N54" s="28"/>
      <c r="O54" s="26"/>
      <c r="P54" s="25"/>
      <c r="R54" s="25"/>
      <c r="S54" s="25"/>
      <c r="T54" s="25"/>
      <c r="U54" s="25"/>
    </row>
    <row r="55" spans="2:21" x14ac:dyDescent="0.35">
      <c r="B55" s="24"/>
      <c r="D55" s="26"/>
      <c r="E55" s="25"/>
      <c r="F55" s="70"/>
      <c r="H55" s="26"/>
      <c r="I55" s="26"/>
      <c r="J55" s="26"/>
      <c r="K55" s="26"/>
      <c r="L55" s="26"/>
      <c r="M55" s="26"/>
      <c r="N55" s="28"/>
      <c r="O55" s="26"/>
      <c r="P55" s="25"/>
      <c r="R55" s="25"/>
      <c r="S55" s="25"/>
      <c r="T55" s="25"/>
      <c r="U55" s="25"/>
    </row>
    <row r="56" spans="2:21" x14ac:dyDescent="0.35">
      <c r="B56" s="5">
        <v>3</v>
      </c>
      <c r="C56" s="6" t="s">
        <v>95</v>
      </c>
      <c r="D56" s="26"/>
      <c r="E56" s="25"/>
      <c r="F56" s="70"/>
      <c r="H56" s="26"/>
      <c r="I56" s="26"/>
      <c r="J56" s="26"/>
      <c r="K56" s="26"/>
      <c r="L56" s="26"/>
      <c r="M56" s="26"/>
      <c r="N56" s="28"/>
      <c r="O56" s="26"/>
      <c r="P56" s="25"/>
      <c r="R56" s="25"/>
      <c r="S56" s="25"/>
      <c r="T56" s="25"/>
      <c r="U56" s="25"/>
    </row>
    <row r="57" spans="2:21" x14ac:dyDescent="0.35">
      <c r="B57" s="24"/>
      <c r="C57" s="29" t="s">
        <v>96</v>
      </c>
      <c r="D57" s="26"/>
      <c r="E57" s="25"/>
      <c r="F57" s="70">
        <v>240</v>
      </c>
      <c r="H57" s="26"/>
      <c r="I57" s="26"/>
      <c r="J57" s="26"/>
      <c r="K57" s="26"/>
      <c r="L57" s="26"/>
      <c r="M57" s="26"/>
      <c r="N57" s="28"/>
      <c r="O57" s="26"/>
      <c r="P57" s="25"/>
      <c r="R57" s="25"/>
      <c r="S57" s="25"/>
      <c r="T57" s="25"/>
      <c r="U57" s="25"/>
    </row>
    <row r="58" spans="2:21" x14ac:dyDescent="0.35">
      <c r="B58" s="24"/>
      <c r="C58" s="29" t="s">
        <v>94</v>
      </c>
      <c r="D58" s="26"/>
      <c r="E58" s="25"/>
      <c r="F58" s="70">
        <f>-D9</f>
        <v>-350</v>
      </c>
      <c r="H58" s="26"/>
      <c r="I58" s="26"/>
      <c r="J58" s="26"/>
      <c r="K58" s="26"/>
      <c r="L58" s="26"/>
      <c r="M58" s="26"/>
      <c r="N58" s="28"/>
      <c r="O58" s="26"/>
      <c r="P58" s="25"/>
      <c r="R58" s="25"/>
      <c r="S58" s="25"/>
      <c r="T58" s="25"/>
      <c r="U58" s="25"/>
    </row>
    <row r="59" spans="2:21" x14ac:dyDescent="0.35">
      <c r="B59" s="24"/>
      <c r="C59" s="29" t="s">
        <v>97</v>
      </c>
      <c r="D59" s="26"/>
      <c r="E59" s="25"/>
      <c r="F59" s="158">
        <f>SUM(F57:F58)</f>
        <v>-110</v>
      </c>
      <c r="H59" s="26"/>
      <c r="I59" s="26"/>
      <c r="J59" s="26"/>
      <c r="K59" s="26"/>
      <c r="L59" s="26"/>
      <c r="M59" s="26"/>
      <c r="N59" s="28"/>
      <c r="O59" s="26"/>
      <c r="P59" s="25"/>
      <c r="R59" s="25"/>
      <c r="S59" s="25"/>
      <c r="T59" s="25"/>
      <c r="U59" s="25"/>
    </row>
    <row r="60" spans="2:21" x14ac:dyDescent="0.35">
      <c r="B60" s="24"/>
      <c r="D60" s="26"/>
      <c r="E60" s="25"/>
      <c r="F60" s="70"/>
      <c r="H60" s="26"/>
      <c r="I60" s="26"/>
      <c r="J60" s="26"/>
      <c r="K60" s="26"/>
      <c r="L60" s="26"/>
      <c r="M60" s="26"/>
      <c r="N60" s="28"/>
      <c r="O60" s="26"/>
      <c r="P60" s="25"/>
      <c r="R60" s="25"/>
      <c r="S60" s="25"/>
      <c r="T60" s="25"/>
      <c r="U60" s="25"/>
    </row>
    <row r="61" spans="2:21" x14ac:dyDescent="0.35">
      <c r="B61" s="22">
        <v>4</v>
      </c>
      <c r="C61" s="29" t="s">
        <v>98</v>
      </c>
      <c r="F61" s="117">
        <v>-10</v>
      </c>
      <c r="H61" s="26"/>
      <c r="I61" s="26"/>
      <c r="J61" s="26"/>
      <c r="K61" s="26"/>
      <c r="L61" s="26"/>
      <c r="M61" s="26"/>
      <c r="N61" s="28"/>
      <c r="O61" s="26"/>
      <c r="P61" s="25"/>
      <c r="R61" s="25"/>
      <c r="S61" s="25"/>
      <c r="T61" s="25"/>
      <c r="U61" s="25"/>
    </row>
    <row r="62" spans="2:21" x14ac:dyDescent="0.35">
      <c r="B62" s="24"/>
      <c r="D62" s="26"/>
      <c r="E62" s="25"/>
      <c r="F62" s="70"/>
      <c r="H62" s="26"/>
      <c r="I62" s="26"/>
      <c r="J62" s="26"/>
      <c r="K62" s="26"/>
      <c r="L62" s="26"/>
      <c r="M62" s="26"/>
      <c r="N62" s="28"/>
      <c r="O62" s="26"/>
      <c r="P62" s="25"/>
      <c r="R62" s="25"/>
      <c r="S62" s="25"/>
      <c r="T62" s="25"/>
      <c r="U62" s="25"/>
    </row>
    <row r="63" spans="2:21" x14ac:dyDescent="0.35">
      <c r="B63" s="5">
        <v>5</v>
      </c>
      <c r="C63" s="6" t="s">
        <v>134</v>
      </c>
      <c r="D63" s="26"/>
      <c r="E63" s="25"/>
      <c r="F63" s="171">
        <v>-40</v>
      </c>
      <c r="H63" s="26"/>
      <c r="I63" s="26"/>
      <c r="J63" s="26"/>
      <c r="K63" s="26"/>
      <c r="L63" s="26"/>
      <c r="M63" s="26"/>
      <c r="N63" s="28"/>
      <c r="O63" s="26"/>
      <c r="P63" s="25"/>
      <c r="R63" s="25"/>
      <c r="S63" s="25"/>
      <c r="T63" s="25"/>
      <c r="U63" s="25"/>
    </row>
    <row r="64" spans="2:21" x14ac:dyDescent="0.35">
      <c r="B64" s="24"/>
      <c r="D64" s="26"/>
      <c r="E64" s="25"/>
      <c r="F64" s="70"/>
      <c r="H64" s="26"/>
      <c r="I64" s="26"/>
      <c r="J64" s="26"/>
      <c r="K64" s="26"/>
      <c r="L64" s="26"/>
      <c r="M64" s="26"/>
      <c r="N64" s="28"/>
      <c r="O64" s="26"/>
      <c r="P64" s="25"/>
      <c r="R64" s="25"/>
      <c r="S64" s="25"/>
      <c r="T64" s="25"/>
      <c r="U64" s="25"/>
    </row>
    <row r="65" spans="2:26" ht="13.3" thickBot="1" x14ac:dyDescent="0.4">
      <c r="B65" s="5">
        <v>6</v>
      </c>
      <c r="C65" s="6" t="s">
        <v>99</v>
      </c>
      <c r="D65" s="26"/>
      <c r="E65" s="25"/>
      <c r="F65" s="70"/>
      <c r="H65" s="26"/>
      <c r="I65" s="26"/>
      <c r="J65" s="26"/>
      <c r="K65" s="26"/>
      <c r="L65" s="26"/>
      <c r="M65" s="26"/>
      <c r="N65" s="28"/>
      <c r="O65" s="26"/>
      <c r="P65" s="25"/>
      <c r="R65" s="25"/>
      <c r="S65" s="25"/>
      <c r="T65" s="25"/>
      <c r="U65" s="25"/>
    </row>
    <row r="66" spans="2:26" x14ac:dyDescent="0.35">
      <c r="B66" s="24"/>
      <c r="C66" s="71"/>
      <c r="D66" s="71"/>
      <c r="E66" s="206" t="s">
        <v>135</v>
      </c>
      <c r="F66" s="207"/>
      <c r="G66" s="208"/>
      <c r="H66" s="206" t="s">
        <v>35</v>
      </c>
      <c r="I66" s="207"/>
      <c r="J66" s="208"/>
      <c r="K66" s="72" t="s">
        <v>36</v>
      </c>
      <c r="L66" s="177" t="s">
        <v>144</v>
      </c>
      <c r="M66" s="73" t="s">
        <v>100</v>
      </c>
      <c r="N66" s="6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2:26" ht="13.3" thickBot="1" x14ac:dyDescent="0.4">
      <c r="B67" s="24"/>
      <c r="C67" s="75"/>
      <c r="D67" s="76" t="s">
        <v>38</v>
      </c>
      <c r="E67" s="78" t="s">
        <v>41</v>
      </c>
      <c r="F67" s="168" t="s">
        <v>39</v>
      </c>
      <c r="G67" s="77" t="s">
        <v>40</v>
      </c>
      <c r="H67" s="78" t="s">
        <v>41</v>
      </c>
      <c r="I67" s="78" t="s">
        <v>42</v>
      </c>
      <c r="J67" s="79" t="s">
        <v>43</v>
      </c>
      <c r="K67" s="80" t="s">
        <v>44</v>
      </c>
      <c r="L67" s="178" t="s">
        <v>145</v>
      </c>
      <c r="M67" s="81"/>
      <c r="N67" s="6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2:26" x14ac:dyDescent="0.35">
      <c r="B68" s="24"/>
      <c r="C68" s="82" t="s">
        <v>45</v>
      </c>
      <c r="D68" s="159">
        <v>10000</v>
      </c>
      <c r="E68" s="160">
        <v>5.38</v>
      </c>
      <c r="F68" s="161">
        <v>5.4</v>
      </c>
      <c r="G68" s="161">
        <v>5.9</v>
      </c>
      <c r="H68" s="83">
        <f>+$D68*E68</f>
        <v>53800</v>
      </c>
      <c r="I68" s="84">
        <f>+$D68*F68</f>
        <v>54000</v>
      </c>
      <c r="J68" s="85">
        <f>+$D68*G68</f>
        <v>59000</v>
      </c>
      <c r="K68" s="86">
        <f>IF(F68=0,0,(F68-E68)*D68)</f>
        <v>200.0000000000046</v>
      </c>
      <c r="L68" s="87">
        <f>IF(F68&gt;0,(G68-F68)*D68,0)</f>
        <v>5000</v>
      </c>
      <c r="M68" s="73">
        <f>+L68/1000</f>
        <v>5</v>
      </c>
      <c r="N68" s="6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2:26" x14ac:dyDescent="0.35">
      <c r="B69" s="24"/>
      <c r="C69" s="88" t="s">
        <v>46</v>
      </c>
      <c r="D69" s="162">
        <v>10000</v>
      </c>
      <c r="E69" s="163">
        <v>7.68</v>
      </c>
      <c r="F69" s="164">
        <v>7.8</v>
      </c>
      <c r="G69" s="164">
        <v>8</v>
      </c>
      <c r="H69" s="83">
        <f>-$D69*E69</f>
        <v>-76800</v>
      </c>
      <c r="I69" s="89">
        <f>-$D69*F69</f>
        <v>-78000</v>
      </c>
      <c r="J69" s="85">
        <f>-$D69*G69</f>
        <v>-80000</v>
      </c>
      <c r="K69" s="86">
        <f>-IF(F69=0,0,(F69-E69)*D69)</f>
        <v>-1200.0000000000011</v>
      </c>
      <c r="L69" s="87">
        <f>-IF(F69&gt;0,(G69-F69)*D69,0)</f>
        <v>-2000.0000000000018</v>
      </c>
      <c r="M69" s="30">
        <f>+L69/1000</f>
        <v>-2.0000000000000018</v>
      </c>
      <c r="N69" s="6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2:26" ht="13.3" thickBot="1" x14ac:dyDescent="0.4">
      <c r="B70" s="24"/>
      <c r="C70" s="179" t="s">
        <v>47</v>
      </c>
      <c r="D70" s="180"/>
      <c r="E70" s="180"/>
      <c r="F70" s="180"/>
      <c r="G70" s="181"/>
      <c r="H70" s="41">
        <f>+H68+H69</f>
        <v>-23000</v>
      </c>
      <c r="I70" s="41">
        <f>+I68+I69</f>
        <v>-24000</v>
      </c>
      <c r="J70" s="41">
        <f>+J68+J69</f>
        <v>-21000</v>
      </c>
      <c r="K70" s="90">
        <f>SUM(K68:K69)</f>
        <v>-999.99999999999659</v>
      </c>
      <c r="L70" s="91">
        <f>SUM(L68:L69)</f>
        <v>2999.9999999999982</v>
      </c>
      <c r="M70" s="92">
        <f>SUM(M68:M69)</f>
        <v>2.9999999999999982</v>
      </c>
      <c r="N70" s="6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2:26" x14ac:dyDescent="0.35">
      <c r="B71" s="24"/>
      <c r="C71" s="179" t="s">
        <v>48</v>
      </c>
      <c r="D71" s="180"/>
      <c r="E71" s="180"/>
      <c r="F71" s="180"/>
      <c r="G71" s="180"/>
      <c r="H71" s="182"/>
      <c r="I71" s="39">
        <f>IF(+I70-H70&lt;0,+I70-H70,0)</f>
        <v>-1000</v>
      </c>
      <c r="J71" s="39">
        <f>-IF(+J70-I70&lt;I71,+J70-I70,I71)</f>
        <v>1000</v>
      </c>
      <c r="L71" s="93"/>
      <c r="M71" s="26"/>
      <c r="N71" s="6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spans="2:26" x14ac:dyDescent="0.35">
      <c r="B72" s="24"/>
      <c r="C72" s="29" t="s">
        <v>49</v>
      </c>
      <c r="H72" s="94"/>
      <c r="I72" s="25">
        <f>+I70</f>
        <v>-24000</v>
      </c>
      <c r="J72" s="25">
        <f>+J70</f>
        <v>-21000</v>
      </c>
      <c r="K72" s="25"/>
      <c r="L72" s="95"/>
      <c r="M72" s="26"/>
      <c r="N72" s="6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spans="2:26" x14ac:dyDescent="0.35">
      <c r="B73" s="24"/>
      <c r="C73" s="29" t="s">
        <v>50</v>
      </c>
      <c r="H73" s="94"/>
      <c r="I73" s="25">
        <f>+H70+I71</f>
        <v>-24000</v>
      </c>
      <c r="J73" s="25">
        <f>+H70+I71+J71</f>
        <v>-23000</v>
      </c>
      <c r="K73" s="95"/>
      <c r="L73" s="95"/>
      <c r="M73" s="26"/>
      <c r="N73" s="6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spans="2:26" x14ac:dyDescent="0.35">
      <c r="B74" s="24"/>
      <c r="C74" s="29" t="s">
        <v>51</v>
      </c>
      <c r="H74" s="94"/>
      <c r="I74" s="96">
        <f>+I72-I73</f>
        <v>0</v>
      </c>
      <c r="J74" s="96">
        <f>+J72-J73</f>
        <v>2000</v>
      </c>
      <c r="K74" s="95"/>
      <c r="L74" s="95"/>
      <c r="M74" s="26"/>
      <c r="N74" s="6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spans="2:26" x14ac:dyDescent="0.35">
      <c r="B75" s="24"/>
      <c r="H75" s="94"/>
      <c r="I75" s="26"/>
      <c r="J75" s="26"/>
      <c r="K75" s="95"/>
      <c r="L75" s="95"/>
      <c r="M75" s="26"/>
      <c r="N75" s="6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spans="2:26" x14ac:dyDescent="0.35">
      <c r="B76" s="24"/>
      <c r="H76" s="94"/>
      <c r="I76" s="26"/>
      <c r="J76" s="26"/>
      <c r="K76" s="95"/>
      <c r="L76" s="95"/>
      <c r="M76" s="26"/>
      <c r="N76" s="6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spans="2:26" x14ac:dyDescent="0.35">
      <c r="B77" s="212" t="s">
        <v>0</v>
      </c>
      <c r="C77" s="186" t="s">
        <v>0</v>
      </c>
      <c r="D77" s="203" t="s">
        <v>71</v>
      </c>
      <c r="E77" s="205"/>
      <c r="F77" s="203" t="s">
        <v>72</v>
      </c>
      <c r="G77" s="205"/>
      <c r="H77" s="203" t="s">
        <v>51</v>
      </c>
      <c r="I77" s="204"/>
      <c r="J77" s="205"/>
      <c r="K77" s="95"/>
      <c r="L77" s="95"/>
      <c r="M77" s="26"/>
      <c r="N77" s="6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2:26" x14ac:dyDescent="0.35">
      <c r="B78" s="213" t="s">
        <v>136</v>
      </c>
      <c r="C78" s="214"/>
      <c r="D78" s="215" t="s">
        <v>65</v>
      </c>
      <c r="E78" s="215" t="s">
        <v>73</v>
      </c>
      <c r="F78" s="215" t="s">
        <v>65</v>
      </c>
      <c r="G78" s="215" t="s">
        <v>73</v>
      </c>
      <c r="H78" s="215" t="s">
        <v>65</v>
      </c>
      <c r="I78" s="215" t="s">
        <v>73</v>
      </c>
      <c r="J78" s="215" t="s">
        <v>36</v>
      </c>
      <c r="K78" s="95"/>
      <c r="L78" s="95"/>
      <c r="M78" s="26"/>
      <c r="N78" s="6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spans="2:26" x14ac:dyDescent="0.35">
      <c r="B79" s="216"/>
      <c r="C79" s="41" t="s">
        <v>148</v>
      </c>
      <c r="D79" s="217">
        <f>+I72</f>
        <v>-24000</v>
      </c>
      <c r="E79" s="217">
        <f>+J72</f>
        <v>-21000</v>
      </c>
      <c r="F79" s="217">
        <f>+I73</f>
        <v>-24000</v>
      </c>
      <c r="G79" s="217">
        <f>+J73</f>
        <v>-23000</v>
      </c>
      <c r="H79" s="41">
        <f>+D79-F79</f>
        <v>0</v>
      </c>
      <c r="I79" s="41">
        <f>+E79-G79</f>
        <v>2000</v>
      </c>
      <c r="J79" s="41">
        <f>+H79-I79</f>
        <v>-2000</v>
      </c>
      <c r="K79" s="95"/>
      <c r="L79" s="95"/>
      <c r="M79" s="26"/>
      <c r="N79" s="6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spans="2:26" x14ac:dyDescent="0.35">
      <c r="B80" s="24"/>
      <c r="D80" s="25"/>
      <c r="E80" s="25"/>
      <c r="F80" s="25"/>
      <c r="G80" s="25"/>
      <c r="H80" s="218"/>
      <c r="I80" s="26"/>
      <c r="J80" s="26"/>
      <c r="K80" s="95"/>
      <c r="L80" s="95"/>
      <c r="M80" s="26"/>
      <c r="N80" s="6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spans="2:26" x14ac:dyDescent="0.35">
      <c r="B81" s="24"/>
      <c r="H81" s="94"/>
      <c r="I81" s="26"/>
      <c r="J81" s="26"/>
      <c r="K81" s="95"/>
      <c r="L81" s="95"/>
      <c r="M81" s="26"/>
      <c r="N81" s="6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2:26" x14ac:dyDescent="0.35">
      <c r="B82" s="24"/>
      <c r="D82" s="67"/>
      <c r="M82" s="26"/>
      <c r="N82" s="64"/>
      <c r="O82" s="97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2:26" x14ac:dyDescent="0.35">
      <c r="B83" s="24"/>
      <c r="C83" s="25"/>
      <c r="D83" s="25"/>
      <c r="E83" s="25"/>
      <c r="F83" s="25"/>
      <c r="G83" s="25"/>
      <c r="H83" s="25"/>
      <c r="I83" s="26"/>
      <c r="J83" s="26"/>
      <c r="K83" s="26"/>
      <c r="L83" s="26"/>
      <c r="M83" s="26"/>
      <c r="N83" s="6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2:26" x14ac:dyDescent="0.35">
      <c r="B84" s="24">
        <v>7</v>
      </c>
      <c r="C84" s="7" t="s">
        <v>3</v>
      </c>
      <c r="D84" s="25"/>
      <c r="E84" s="25"/>
      <c r="F84" s="25"/>
      <c r="G84" s="25"/>
      <c r="H84" s="25"/>
      <c r="I84" s="26"/>
      <c r="J84" s="26"/>
      <c r="K84" s="26"/>
      <c r="L84" s="26"/>
      <c r="M84" s="26"/>
      <c r="N84" s="6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2:26" x14ac:dyDescent="0.35">
      <c r="B85" s="24"/>
      <c r="C85" s="98"/>
      <c r="D85" s="99"/>
      <c r="E85" s="26"/>
      <c r="F85" s="26"/>
      <c r="G85" s="26"/>
      <c r="H85" s="26"/>
      <c r="J85" s="25"/>
      <c r="K85" s="25"/>
      <c r="L85" s="25"/>
      <c r="M85" s="25"/>
      <c r="N85" s="64"/>
      <c r="O85" s="25"/>
      <c r="P85" s="25"/>
      <c r="Q85" s="25"/>
      <c r="R85" s="25"/>
      <c r="S85" s="25"/>
      <c r="T85" s="25"/>
      <c r="U85" s="25"/>
    </row>
    <row r="86" spans="2:26" x14ac:dyDescent="0.35">
      <c r="B86" s="24"/>
      <c r="C86" s="100" t="s">
        <v>52</v>
      </c>
      <c r="D86" s="101" t="s">
        <v>53</v>
      </c>
      <c r="E86" s="101" t="s">
        <v>54</v>
      </c>
      <c r="F86" s="101" t="s">
        <v>38</v>
      </c>
      <c r="G86" s="101" t="s">
        <v>55</v>
      </c>
      <c r="H86" s="101" t="s">
        <v>56</v>
      </c>
      <c r="I86" s="102" t="s">
        <v>57</v>
      </c>
      <c r="J86" s="25"/>
      <c r="K86" s="25"/>
      <c r="L86" s="25"/>
      <c r="M86" s="25"/>
    </row>
    <row r="87" spans="2:26" x14ac:dyDescent="0.35">
      <c r="B87" s="24"/>
      <c r="C87" s="107" t="s">
        <v>58</v>
      </c>
      <c r="D87" s="107">
        <v>1500</v>
      </c>
      <c r="E87" s="107">
        <v>-100</v>
      </c>
      <c r="F87" s="107">
        <f>SUM(D87:E87)</f>
        <v>1400</v>
      </c>
      <c r="G87" s="108">
        <v>1</v>
      </c>
      <c r="H87" s="109">
        <v>0.2</v>
      </c>
      <c r="I87" s="107">
        <f>+F87*G87*H87</f>
        <v>280</v>
      </c>
      <c r="J87" s="25"/>
      <c r="K87" s="25"/>
      <c r="L87" s="25"/>
      <c r="M87" s="25"/>
    </row>
    <row r="88" spans="2:26" x14ac:dyDescent="0.35">
      <c r="B88" s="24"/>
      <c r="C88" s="26" t="s">
        <v>59</v>
      </c>
      <c r="D88" s="26"/>
      <c r="E88" s="26"/>
      <c r="F88" s="26">
        <v>260</v>
      </c>
      <c r="G88" s="99">
        <v>0.25</v>
      </c>
      <c r="H88" s="110">
        <f>+H87</f>
        <v>0.2</v>
      </c>
      <c r="I88" s="26">
        <f>+F88*G88*H88</f>
        <v>13</v>
      </c>
      <c r="J88" s="25"/>
      <c r="K88" s="25"/>
      <c r="L88" s="25"/>
      <c r="M88" s="25"/>
    </row>
    <row r="89" spans="2:26" x14ac:dyDescent="0.35">
      <c r="B89" s="24"/>
      <c r="C89" s="26" t="s">
        <v>54</v>
      </c>
      <c r="D89" s="26"/>
      <c r="E89" s="26"/>
      <c r="F89" s="26">
        <v>100</v>
      </c>
      <c r="G89" s="99">
        <v>0.5</v>
      </c>
      <c r="H89" s="110">
        <f>+H88</f>
        <v>0.2</v>
      </c>
      <c r="I89" s="26">
        <f>+F89*G89*H89</f>
        <v>10</v>
      </c>
      <c r="J89" s="25"/>
      <c r="K89" s="25"/>
      <c r="L89" s="25"/>
      <c r="M89" s="25"/>
    </row>
    <row r="90" spans="2:26" x14ac:dyDescent="0.35">
      <c r="B90" s="24"/>
      <c r="C90" s="26"/>
      <c r="D90" s="26"/>
      <c r="E90" s="26"/>
      <c r="F90" s="26"/>
      <c r="G90" s="26"/>
      <c r="H90" s="26"/>
      <c r="I90" s="96">
        <f>SUM(I87:I89)</f>
        <v>303</v>
      </c>
      <c r="J90" s="25"/>
      <c r="K90" s="25"/>
      <c r="L90" s="25"/>
      <c r="M90" s="25"/>
    </row>
    <row r="91" spans="2:26" x14ac:dyDescent="0.35">
      <c r="B91" s="24"/>
      <c r="C91" s="98"/>
      <c r="D91" s="99"/>
      <c r="E91" s="26"/>
      <c r="F91" s="26"/>
      <c r="G91" s="26"/>
      <c r="H91" s="26"/>
      <c r="J91" s="25"/>
      <c r="K91" s="25"/>
      <c r="L91" s="25"/>
      <c r="M91" s="25"/>
    </row>
    <row r="92" spans="2:26" x14ac:dyDescent="0.35">
      <c r="B92" s="24"/>
      <c r="C92" s="112" t="s">
        <v>60</v>
      </c>
      <c r="D92" s="112"/>
      <c r="E92" s="112"/>
      <c r="F92" s="113" t="s">
        <v>38</v>
      </c>
      <c r="G92" s="114" t="s">
        <v>61</v>
      </c>
      <c r="H92" s="115" t="s">
        <v>56</v>
      </c>
      <c r="I92" s="96"/>
      <c r="J92" s="26"/>
    </row>
    <row r="93" spans="2:26" x14ac:dyDescent="0.35">
      <c r="B93" s="24"/>
      <c r="C93" s="98" t="s">
        <v>62</v>
      </c>
      <c r="D93" s="98"/>
      <c r="E93" s="98"/>
      <c r="F93" s="98"/>
      <c r="G93" s="87"/>
      <c r="H93" s="87"/>
      <c r="I93" s="116">
        <f>+F89</f>
        <v>100</v>
      </c>
      <c r="J93" s="26"/>
    </row>
    <row r="94" spans="2:26" x14ac:dyDescent="0.35">
      <c r="B94" s="24"/>
      <c r="C94" s="98" t="s">
        <v>63</v>
      </c>
      <c r="D94" s="98"/>
      <c r="E94" s="98"/>
      <c r="F94" s="26">
        <f>+I93</f>
        <v>100</v>
      </c>
      <c r="G94" s="99">
        <v>2.75</v>
      </c>
      <c r="H94" s="110">
        <f>+H87</f>
        <v>0.2</v>
      </c>
      <c r="I94" s="26">
        <f>-F94*G94*H94</f>
        <v>-55</v>
      </c>
      <c r="J94" s="26"/>
    </row>
    <row r="95" spans="2:26" x14ac:dyDescent="0.35">
      <c r="B95" s="24"/>
      <c r="C95" s="98" t="s">
        <v>64</v>
      </c>
      <c r="D95" s="98"/>
      <c r="E95" s="98"/>
      <c r="F95" s="99"/>
      <c r="G95" s="26"/>
      <c r="H95" s="26"/>
      <c r="I95" s="96">
        <f>SUM(I93:I94)</f>
        <v>45</v>
      </c>
      <c r="J95" s="26"/>
    </row>
    <row r="96" spans="2:26" x14ac:dyDescent="0.35">
      <c r="B96" s="24"/>
      <c r="C96" s="98"/>
      <c r="D96" s="99"/>
      <c r="E96" s="26"/>
      <c r="F96" s="26"/>
      <c r="G96" s="26"/>
      <c r="H96" s="26"/>
      <c r="M96" s="25"/>
    </row>
    <row r="97" spans="2:53" x14ac:dyDescent="0.35">
      <c r="B97" s="24"/>
      <c r="C97" s="103" t="s">
        <v>116</v>
      </c>
      <c r="D97" s="1"/>
      <c r="E97" s="1"/>
      <c r="F97" s="1"/>
      <c r="G97" s="1"/>
      <c r="H97" s="1"/>
      <c r="I97" s="63"/>
      <c r="J97" s="25"/>
      <c r="K97" s="25"/>
      <c r="L97" s="25"/>
      <c r="M97" s="25"/>
      <c r="AZ97" s="25"/>
      <c r="BA97" s="25"/>
    </row>
    <row r="98" spans="2:53" x14ac:dyDescent="0.35">
      <c r="B98" s="24"/>
      <c r="C98" s="29" t="s">
        <v>117</v>
      </c>
      <c r="I98" s="25">
        <f>+I90</f>
        <v>303</v>
      </c>
      <c r="K98" s="25"/>
      <c r="L98" s="25"/>
      <c r="M98" s="25"/>
      <c r="R98" s="25"/>
      <c r="S98" s="25"/>
      <c r="T98" s="25"/>
      <c r="U98" s="25"/>
      <c r="V98" s="25"/>
      <c r="W98" s="25"/>
      <c r="X98" s="25"/>
      <c r="Y98" s="25"/>
      <c r="Z98" s="25"/>
      <c r="AA98" s="25"/>
    </row>
    <row r="99" spans="2:53" x14ac:dyDescent="0.35">
      <c r="B99" s="24"/>
      <c r="C99" s="29" t="s">
        <v>118</v>
      </c>
      <c r="I99" s="25">
        <f>+I95</f>
        <v>45</v>
      </c>
      <c r="K99" s="25"/>
      <c r="L99" s="25"/>
      <c r="M99" s="25"/>
      <c r="R99" s="25"/>
      <c r="S99" s="25"/>
      <c r="T99" s="25"/>
      <c r="U99" s="25"/>
      <c r="V99" s="25"/>
      <c r="W99" s="25"/>
      <c r="X99" s="25"/>
      <c r="Y99" s="25"/>
      <c r="Z99" s="25"/>
      <c r="AA99" s="25"/>
    </row>
    <row r="100" spans="2:53" x14ac:dyDescent="0.35">
      <c r="B100" s="24"/>
      <c r="C100" s="29" t="s">
        <v>57</v>
      </c>
      <c r="I100" s="96">
        <f>SUM(I98:I99)</f>
        <v>348</v>
      </c>
      <c r="K100" s="25"/>
      <c r="L100" s="25"/>
      <c r="M100" s="25"/>
      <c r="N100" s="10"/>
      <c r="O100" s="116"/>
      <c r="P100" s="26"/>
      <c r="Q100" s="25"/>
      <c r="R100" s="25"/>
      <c r="T100" s="25"/>
      <c r="U100" s="25"/>
      <c r="V100" s="25"/>
      <c r="W100" s="25"/>
      <c r="X100" s="25"/>
      <c r="Y100" s="25"/>
      <c r="Z100" s="25"/>
    </row>
    <row r="101" spans="2:53" x14ac:dyDescent="0.35">
      <c r="B101" s="24"/>
      <c r="D101" s="26"/>
      <c r="F101" s="25"/>
      <c r="G101" s="25"/>
      <c r="H101" s="25"/>
      <c r="I101" s="9"/>
      <c r="J101" s="116"/>
      <c r="K101" s="26"/>
      <c r="L101" s="25"/>
      <c r="M101" s="25"/>
      <c r="O101" s="25"/>
      <c r="P101" s="25"/>
      <c r="Q101" s="25"/>
      <c r="R101" s="25"/>
      <c r="S101" s="25"/>
      <c r="T101" s="25"/>
      <c r="U101" s="25"/>
    </row>
    <row r="102" spans="2:53" x14ac:dyDescent="0.35">
      <c r="B102" s="24"/>
      <c r="D102" s="26"/>
      <c r="F102" s="25"/>
      <c r="G102" s="25"/>
      <c r="H102" s="25"/>
      <c r="I102" s="9"/>
      <c r="J102" s="116"/>
      <c r="K102" s="26"/>
      <c r="L102" s="25"/>
      <c r="M102" s="25"/>
      <c r="O102" s="25"/>
      <c r="P102" s="25"/>
      <c r="Q102" s="25"/>
      <c r="R102" s="25"/>
      <c r="S102" s="25"/>
      <c r="T102" s="25"/>
      <c r="U102" s="25"/>
    </row>
    <row r="103" spans="2:53" x14ac:dyDescent="0.35">
      <c r="B103" s="24"/>
      <c r="C103" s="105" t="s">
        <v>119</v>
      </c>
      <c r="D103" s="11"/>
      <c r="E103" s="11"/>
      <c r="F103" s="117"/>
      <c r="G103" s="117"/>
      <c r="H103" s="118" t="s">
        <v>120</v>
      </c>
      <c r="I103" s="119">
        <v>0.2</v>
      </c>
      <c r="K103" s="25"/>
      <c r="L103" s="25"/>
      <c r="M103" s="9"/>
      <c r="N103" s="120"/>
      <c r="O103" s="26"/>
      <c r="P103" s="25"/>
      <c r="Q103" s="25"/>
      <c r="S103" s="25"/>
      <c r="T103" s="25"/>
      <c r="U103" s="25"/>
      <c r="V103" s="25"/>
      <c r="W103" s="25"/>
      <c r="X103" s="25"/>
      <c r="Y103" s="25"/>
    </row>
    <row r="104" spans="2:53" x14ac:dyDescent="0.35">
      <c r="B104" s="24"/>
      <c r="C104" s="103" t="s">
        <v>65</v>
      </c>
      <c r="D104" s="103"/>
      <c r="E104" s="103"/>
      <c r="F104" s="103"/>
      <c r="G104" s="103"/>
      <c r="H104" s="103"/>
      <c r="I104" s="121">
        <v>640</v>
      </c>
      <c r="J104" s="116"/>
      <c r="K104" s="25"/>
      <c r="L104" s="25"/>
      <c r="M104" s="9"/>
      <c r="N104" s="120"/>
      <c r="O104" s="26"/>
      <c r="P104" s="25"/>
      <c r="Q104" s="25"/>
      <c r="S104" s="25"/>
      <c r="T104" s="25"/>
      <c r="U104" s="25"/>
      <c r="V104" s="25"/>
      <c r="W104" s="25"/>
      <c r="X104" s="25"/>
      <c r="Y104" s="25"/>
    </row>
    <row r="105" spans="2:53" x14ac:dyDescent="0.35">
      <c r="B105" s="24"/>
      <c r="C105" s="103" t="s">
        <v>66</v>
      </c>
      <c r="D105" s="103"/>
      <c r="E105" s="103"/>
      <c r="F105" s="103"/>
      <c r="G105" s="103"/>
      <c r="H105" s="103"/>
      <c r="I105" s="121">
        <v>260</v>
      </c>
      <c r="J105" s="116"/>
      <c r="K105" s="25"/>
      <c r="L105" s="25"/>
      <c r="M105" s="9"/>
      <c r="N105" s="120"/>
      <c r="O105" s="26"/>
      <c r="P105" s="25"/>
      <c r="Q105" s="25"/>
      <c r="S105" s="25"/>
      <c r="T105" s="25"/>
      <c r="U105" s="25"/>
      <c r="V105" s="25"/>
      <c r="W105" s="25"/>
      <c r="X105" s="25"/>
      <c r="Y105" s="25"/>
    </row>
    <row r="106" spans="2:53" x14ac:dyDescent="0.35">
      <c r="B106" s="24"/>
      <c r="C106" s="103" t="s">
        <v>121</v>
      </c>
      <c r="D106" s="103"/>
      <c r="E106" s="103"/>
      <c r="F106" s="103"/>
      <c r="G106" s="103"/>
      <c r="H106" s="103"/>
      <c r="I106" s="121">
        <v>-40</v>
      </c>
      <c r="J106" s="116"/>
      <c r="K106" s="25"/>
      <c r="L106" s="25"/>
      <c r="M106" s="9"/>
      <c r="N106" s="120"/>
      <c r="O106" s="26"/>
      <c r="P106" s="25"/>
      <c r="Q106" s="25"/>
      <c r="S106" s="25"/>
      <c r="T106" s="25"/>
      <c r="U106" s="25"/>
      <c r="V106" s="25"/>
      <c r="W106" s="25"/>
      <c r="X106" s="25"/>
      <c r="Y106" s="25"/>
    </row>
    <row r="107" spans="2:53" x14ac:dyDescent="0.35">
      <c r="B107" s="24"/>
      <c r="C107" s="122" t="s">
        <v>67</v>
      </c>
      <c r="D107" s="122"/>
      <c r="E107" s="122"/>
      <c r="F107" s="122"/>
      <c r="G107" s="122"/>
      <c r="H107" s="122"/>
      <c r="I107" s="123">
        <f>SUM(I104:I106)</f>
        <v>860</v>
      </c>
      <c r="J107" s="116"/>
      <c r="K107" s="25"/>
      <c r="L107" s="25"/>
      <c r="M107" s="9"/>
      <c r="N107" s="120"/>
      <c r="O107" s="26"/>
      <c r="P107" s="25"/>
      <c r="Q107" s="25"/>
      <c r="S107" s="25"/>
      <c r="T107" s="25"/>
      <c r="U107" s="25"/>
      <c r="V107" s="25"/>
      <c r="W107" s="25"/>
      <c r="X107" s="25"/>
      <c r="Y107" s="25"/>
    </row>
    <row r="108" spans="2:53" x14ac:dyDescent="0.35">
      <c r="B108" s="24"/>
      <c r="C108" s="103" t="s">
        <v>68</v>
      </c>
      <c r="D108" s="103"/>
      <c r="E108" s="103"/>
      <c r="F108" s="103"/>
      <c r="G108" s="103"/>
      <c r="H108" s="103"/>
      <c r="I108" s="121">
        <f>+I107*0.2</f>
        <v>172</v>
      </c>
      <c r="J108" s="116"/>
      <c r="K108" s="25"/>
      <c r="L108" s="25"/>
      <c r="M108" s="9"/>
      <c r="N108" s="120"/>
      <c r="O108" s="26"/>
      <c r="P108" s="25"/>
      <c r="Q108" s="25"/>
      <c r="S108" s="25"/>
      <c r="T108" s="25"/>
      <c r="U108" s="25"/>
      <c r="V108" s="25"/>
      <c r="W108" s="25"/>
      <c r="X108" s="25"/>
      <c r="Y108" s="25"/>
    </row>
    <row r="109" spans="2:53" x14ac:dyDescent="0.35">
      <c r="B109" s="24"/>
      <c r="C109" s="112" t="s">
        <v>69</v>
      </c>
      <c r="D109" s="8"/>
      <c r="E109" s="8"/>
      <c r="F109" s="8"/>
      <c r="G109" s="8"/>
      <c r="H109" s="8"/>
      <c r="I109" s="124">
        <f>+I107-I108</f>
        <v>688</v>
      </c>
      <c r="J109" s="116"/>
      <c r="K109" s="25"/>
      <c r="L109" s="25"/>
      <c r="M109" s="9"/>
      <c r="N109" s="120"/>
      <c r="O109" s="26"/>
      <c r="P109" s="25"/>
      <c r="Q109" s="25"/>
      <c r="S109" s="25"/>
      <c r="T109" s="25"/>
      <c r="U109" s="25"/>
      <c r="V109" s="25"/>
      <c r="W109" s="25"/>
      <c r="X109" s="25"/>
      <c r="Y109" s="25"/>
    </row>
    <row r="110" spans="2:53" x14ac:dyDescent="0.35">
      <c r="B110" s="24"/>
      <c r="C110" s="98"/>
      <c r="D110" s="9"/>
      <c r="E110" s="9"/>
      <c r="F110" s="9"/>
      <c r="G110" s="9"/>
      <c r="H110" s="9"/>
      <c r="I110" s="116"/>
      <c r="J110" s="116"/>
      <c r="K110" s="25"/>
      <c r="L110" s="25"/>
      <c r="M110" s="9"/>
      <c r="N110" s="120"/>
      <c r="O110" s="26"/>
      <c r="P110" s="25"/>
      <c r="Q110" s="25"/>
      <c r="S110" s="25"/>
      <c r="T110" s="25"/>
      <c r="U110" s="25"/>
      <c r="V110" s="25"/>
      <c r="W110" s="25"/>
      <c r="X110" s="25"/>
      <c r="Y110" s="25"/>
    </row>
    <row r="111" spans="2:53" x14ac:dyDescent="0.35">
      <c r="B111" s="212" t="s">
        <v>0</v>
      </c>
      <c r="C111" s="186" t="s">
        <v>0</v>
      </c>
      <c r="D111" s="203" t="s">
        <v>71</v>
      </c>
      <c r="E111" s="205"/>
      <c r="F111" s="203" t="s">
        <v>72</v>
      </c>
      <c r="G111" s="205"/>
      <c r="H111" s="203" t="s">
        <v>51</v>
      </c>
      <c r="I111" s="204"/>
      <c r="J111" s="205"/>
      <c r="K111" s="25"/>
      <c r="L111" s="25"/>
      <c r="M111" s="9"/>
      <c r="N111" s="120"/>
      <c r="O111" s="26"/>
      <c r="P111" s="25"/>
      <c r="Q111" s="25"/>
      <c r="S111" s="25"/>
      <c r="T111" s="25"/>
      <c r="U111" s="25"/>
      <c r="V111" s="25"/>
      <c r="W111" s="25"/>
      <c r="X111" s="25"/>
      <c r="Y111" s="25"/>
    </row>
    <row r="112" spans="2:53" x14ac:dyDescent="0.35">
      <c r="B112" s="213" t="s">
        <v>136</v>
      </c>
      <c r="C112" s="214"/>
      <c r="D112" s="215" t="s">
        <v>65</v>
      </c>
      <c r="E112" s="215" t="s">
        <v>73</v>
      </c>
      <c r="F112" s="215" t="s">
        <v>65</v>
      </c>
      <c r="G112" s="215" t="s">
        <v>73</v>
      </c>
      <c r="H112" s="215" t="s">
        <v>65</v>
      </c>
      <c r="I112" s="215" t="s">
        <v>73</v>
      </c>
      <c r="J112" s="215" t="s">
        <v>36</v>
      </c>
      <c r="K112" s="25"/>
      <c r="L112" s="25"/>
      <c r="M112" s="9"/>
      <c r="N112" s="120"/>
      <c r="O112" s="26"/>
      <c r="P112" s="25"/>
      <c r="Q112" s="25"/>
      <c r="S112" s="25"/>
      <c r="T112" s="25"/>
      <c r="U112" s="25"/>
      <c r="V112" s="25"/>
      <c r="W112" s="25"/>
      <c r="X112" s="25"/>
      <c r="Y112" s="25"/>
    </row>
    <row r="113" spans="2:25" x14ac:dyDescent="0.35">
      <c r="B113" s="216"/>
      <c r="C113" s="41" t="s">
        <v>148</v>
      </c>
      <c r="D113" s="217">
        <f>+I106</f>
        <v>-40</v>
      </c>
      <c r="E113" s="217">
        <f>+J106</f>
        <v>0</v>
      </c>
      <c r="F113" s="217">
        <f>+I107</f>
        <v>860</v>
      </c>
      <c r="G113" s="217">
        <f>+J107</f>
        <v>0</v>
      </c>
      <c r="H113" s="41">
        <f>+D113-F113</f>
        <v>-900</v>
      </c>
      <c r="I113" s="41">
        <f>+E113-G113</f>
        <v>0</v>
      </c>
      <c r="J113" s="41">
        <f>+H113-I113</f>
        <v>-900</v>
      </c>
      <c r="K113" s="25"/>
      <c r="L113" s="25"/>
      <c r="M113" s="9"/>
      <c r="N113" s="120"/>
      <c r="O113" s="26"/>
      <c r="P113" s="25"/>
      <c r="Q113" s="25"/>
      <c r="S113" s="25"/>
      <c r="T113" s="25"/>
      <c r="U113" s="25"/>
      <c r="V113" s="25"/>
      <c r="W113" s="25"/>
      <c r="X113" s="25"/>
      <c r="Y113" s="25"/>
    </row>
    <row r="114" spans="2:25" x14ac:dyDescent="0.35">
      <c r="B114" s="24"/>
      <c r="C114" s="98"/>
      <c r="D114" s="9"/>
      <c r="E114" s="9"/>
      <c r="F114" s="9"/>
      <c r="G114" s="9"/>
      <c r="H114" s="9"/>
      <c r="I114" s="116"/>
      <c r="J114" s="116"/>
      <c r="K114" s="25"/>
      <c r="L114" s="25"/>
      <c r="M114" s="9"/>
      <c r="N114" s="120"/>
      <c r="O114" s="26"/>
      <c r="P114" s="25"/>
      <c r="Q114" s="25"/>
      <c r="S114" s="25"/>
      <c r="T114" s="25"/>
      <c r="U114" s="25"/>
      <c r="V114" s="25"/>
      <c r="W114" s="25"/>
      <c r="X114" s="25"/>
      <c r="Y114" s="25"/>
    </row>
    <row r="115" spans="2:25" x14ac:dyDescent="0.35">
      <c r="B115" s="24"/>
      <c r="D115" s="26"/>
      <c r="F115" s="25"/>
      <c r="G115" s="25"/>
      <c r="H115" s="25"/>
      <c r="I115" s="9"/>
      <c r="J115" s="116"/>
      <c r="K115" s="26"/>
      <c r="L115" s="25"/>
      <c r="M115" s="25"/>
      <c r="O115" s="25"/>
      <c r="P115" s="25"/>
      <c r="Q115" s="25"/>
      <c r="R115" s="25"/>
      <c r="S115" s="25"/>
      <c r="T115" s="25"/>
      <c r="U115" s="25"/>
    </row>
    <row r="116" spans="2:25" x14ac:dyDescent="0.35">
      <c r="B116" s="5">
        <v>8</v>
      </c>
      <c r="C116" s="6" t="s">
        <v>122</v>
      </c>
      <c r="D116" s="26" t="s">
        <v>123</v>
      </c>
      <c r="F116" s="25"/>
      <c r="G116" s="25"/>
      <c r="H116" s="25"/>
      <c r="I116" s="9"/>
      <c r="J116" s="116"/>
      <c r="K116" s="26"/>
      <c r="L116" s="25"/>
      <c r="M116" s="25"/>
      <c r="O116" s="25"/>
      <c r="P116" s="25"/>
      <c r="Q116" s="25"/>
      <c r="R116" s="25"/>
      <c r="S116" s="25"/>
      <c r="T116" s="25"/>
      <c r="U116" s="25"/>
    </row>
    <row r="117" spans="2:25" x14ac:dyDescent="0.35">
      <c r="B117" s="24"/>
      <c r="D117" s="26" t="s">
        <v>124</v>
      </c>
      <c r="F117" s="25"/>
      <c r="G117" s="25"/>
      <c r="H117" s="25"/>
      <c r="I117" s="9"/>
      <c r="J117" s="116"/>
      <c r="K117" s="26"/>
      <c r="L117" s="25"/>
      <c r="M117" s="25"/>
      <c r="O117" s="25"/>
      <c r="P117" s="25"/>
      <c r="Q117" s="25"/>
      <c r="R117" s="25"/>
      <c r="S117" s="25"/>
      <c r="T117" s="25"/>
      <c r="U117" s="25"/>
    </row>
    <row r="118" spans="2:25" x14ac:dyDescent="0.35">
      <c r="B118" s="24"/>
      <c r="D118" s="26" t="s">
        <v>125</v>
      </c>
      <c r="F118" s="25"/>
      <c r="G118" s="25"/>
      <c r="H118" s="25"/>
      <c r="I118" s="9"/>
      <c r="J118" s="116"/>
      <c r="K118" s="26"/>
      <c r="L118" s="25"/>
      <c r="M118" s="25"/>
      <c r="O118" s="25"/>
      <c r="P118" s="25"/>
      <c r="Q118" s="25"/>
      <c r="R118" s="25"/>
      <c r="S118" s="25"/>
      <c r="T118" s="25"/>
      <c r="U118" s="25"/>
    </row>
    <row r="119" spans="2:25" x14ac:dyDescent="0.35">
      <c r="B119" s="24"/>
      <c r="D119" s="26"/>
      <c r="F119" s="25"/>
      <c r="G119" s="25"/>
      <c r="H119" s="25"/>
      <c r="I119" s="9"/>
      <c r="J119" s="116"/>
      <c r="K119" s="26"/>
      <c r="L119" s="25"/>
      <c r="M119" s="25"/>
      <c r="O119" s="25"/>
      <c r="P119" s="25"/>
      <c r="Q119" s="25"/>
      <c r="R119" s="25"/>
      <c r="S119" s="25"/>
      <c r="T119" s="25"/>
      <c r="U119" s="25"/>
    </row>
    <row r="120" spans="2:25" x14ac:dyDescent="0.35">
      <c r="B120" s="5">
        <v>9</v>
      </c>
      <c r="C120" s="6" t="s">
        <v>126</v>
      </c>
      <c r="D120" s="26"/>
      <c r="F120" s="25"/>
      <c r="G120" s="25"/>
      <c r="H120" s="25"/>
      <c r="I120" s="9"/>
      <c r="J120" s="116"/>
      <c r="K120" s="26"/>
      <c r="L120" s="25"/>
      <c r="M120" s="25"/>
      <c r="O120" s="25"/>
      <c r="P120" s="25"/>
      <c r="Q120" s="25"/>
      <c r="R120" s="25"/>
      <c r="S120" s="25"/>
      <c r="T120" s="25"/>
      <c r="U120" s="25"/>
    </row>
    <row r="121" spans="2:25" x14ac:dyDescent="0.35">
      <c r="B121" s="125" t="s">
        <v>70</v>
      </c>
      <c r="C121" s="25" t="s">
        <v>127</v>
      </c>
      <c r="D121" s="12">
        <f>+L2</f>
        <v>0.25</v>
      </c>
      <c r="E121" s="12"/>
      <c r="F121" s="25"/>
      <c r="G121" s="25"/>
      <c r="H121" s="25"/>
      <c r="I121" s="25"/>
      <c r="J121" s="25"/>
      <c r="K121" s="25"/>
      <c r="L121" s="25"/>
      <c r="M121" s="25"/>
      <c r="N121" s="64"/>
      <c r="O121" s="25"/>
      <c r="R121" s="25"/>
      <c r="S121" s="25"/>
      <c r="T121" s="25"/>
      <c r="U121" s="25"/>
    </row>
    <row r="122" spans="2:25" x14ac:dyDescent="0.35">
      <c r="B122" s="126" t="s">
        <v>70</v>
      </c>
      <c r="C122" s="127"/>
      <c r="D122" s="209" t="s">
        <v>71</v>
      </c>
      <c r="E122" s="210"/>
      <c r="F122" s="209" t="s">
        <v>72</v>
      </c>
      <c r="G122" s="210"/>
      <c r="H122" s="209" t="s">
        <v>51</v>
      </c>
      <c r="I122" s="211"/>
      <c r="J122" s="210"/>
      <c r="R122" s="25"/>
      <c r="S122" s="25"/>
      <c r="T122" s="25"/>
      <c r="U122" s="25"/>
    </row>
    <row r="123" spans="2:25" x14ac:dyDescent="0.35">
      <c r="B123" s="128"/>
      <c r="C123" s="129" t="s">
        <v>0</v>
      </c>
      <c r="D123" s="130" t="s">
        <v>65</v>
      </c>
      <c r="E123" s="131" t="s">
        <v>73</v>
      </c>
      <c r="F123" s="65" t="s">
        <v>65</v>
      </c>
      <c r="G123" s="131" t="s">
        <v>73</v>
      </c>
      <c r="H123" s="65" t="s">
        <v>65</v>
      </c>
      <c r="I123" s="65" t="s">
        <v>73</v>
      </c>
      <c r="J123" s="132" t="s">
        <v>36</v>
      </c>
      <c r="P123" s="25"/>
      <c r="Q123" s="25"/>
      <c r="R123" s="25"/>
      <c r="S123" s="25"/>
      <c r="T123" s="25"/>
      <c r="U123" s="25"/>
    </row>
    <row r="124" spans="2:25" x14ac:dyDescent="0.35">
      <c r="B124" s="133">
        <v>1</v>
      </c>
      <c r="C124" s="134" t="s">
        <v>74</v>
      </c>
      <c r="D124" s="172">
        <v>-12</v>
      </c>
      <c r="E124" s="135">
        <f>-D10*E48</f>
        <v>-15</v>
      </c>
      <c r="F124" s="174">
        <v>-37</v>
      </c>
      <c r="G124" s="136">
        <f>-F46</f>
        <v>-42.007001166861144</v>
      </c>
      <c r="H124" s="137">
        <f t="shared" ref="H124:H132" si="17">+D124-F124</f>
        <v>25</v>
      </c>
      <c r="I124" s="137">
        <f t="shared" ref="I124:I132" si="18">+E124-G124</f>
        <v>27.007001166861144</v>
      </c>
      <c r="J124" s="138">
        <f t="shared" ref="J124:J130" si="19">+H124-I124</f>
        <v>-2.0070011668611443</v>
      </c>
      <c r="P124" s="25"/>
      <c r="Q124" s="25"/>
      <c r="R124" s="25"/>
      <c r="S124" s="25"/>
      <c r="T124" s="25"/>
      <c r="U124" s="25"/>
    </row>
    <row r="125" spans="2:25" x14ac:dyDescent="0.35">
      <c r="B125" s="133">
        <v>2</v>
      </c>
      <c r="C125" s="134" t="s">
        <v>5</v>
      </c>
      <c r="D125" s="172">
        <v>100</v>
      </c>
      <c r="E125" s="173">
        <v>150</v>
      </c>
      <c r="F125" s="174">
        <v>120</v>
      </c>
      <c r="G125" s="173">
        <v>178</v>
      </c>
      <c r="H125" s="137">
        <f t="shared" si="17"/>
        <v>-20</v>
      </c>
      <c r="I125" s="137">
        <f t="shared" si="18"/>
        <v>-28</v>
      </c>
      <c r="J125" s="138">
        <f t="shared" si="19"/>
        <v>8</v>
      </c>
      <c r="P125" s="25"/>
      <c r="Q125" s="25"/>
      <c r="R125" s="25"/>
      <c r="S125" s="25"/>
      <c r="T125" s="25"/>
      <c r="U125" s="25"/>
    </row>
    <row r="126" spans="2:25" x14ac:dyDescent="0.35">
      <c r="B126" s="133">
        <v>3</v>
      </c>
      <c r="C126" s="134" t="s">
        <v>6</v>
      </c>
      <c r="D126" s="172">
        <v>350</v>
      </c>
      <c r="E126" s="173">
        <v>240</v>
      </c>
      <c r="F126" s="174">
        <v>160</v>
      </c>
      <c r="G126" s="173">
        <v>120</v>
      </c>
      <c r="H126" s="137">
        <f t="shared" si="17"/>
        <v>190</v>
      </c>
      <c r="I126" s="137">
        <f t="shared" si="18"/>
        <v>120</v>
      </c>
      <c r="J126" s="138">
        <f t="shared" si="19"/>
        <v>70</v>
      </c>
      <c r="P126" s="25"/>
      <c r="Q126" s="25"/>
      <c r="R126" s="25"/>
      <c r="S126" s="25"/>
      <c r="T126" s="25"/>
      <c r="U126" s="25"/>
    </row>
    <row r="127" spans="2:25" x14ac:dyDescent="0.35">
      <c r="B127" s="133">
        <v>4</v>
      </c>
      <c r="C127" s="134" t="s">
        <v>14</v>
      </c>
      <c r="D127" s="172">
        <v>-40</v>
      </c>
      <c r="E127" s="173">
        <v>-30</v>
      </c>
      <c r="F127" s="174"/>
      <c r="G127" s="173"/>
      <c r="H127" s="137">
        <f t="shared" si="17"/>
        <v>-40</v>
      </c>
      <c r="I127" s="137">
        <f t="shared" si="18"/>
        <v>-30</v>
      </c>
      <c r="J127" s="138">
        <f t="shared" si="19"/>
        <v>-10</v>
      </c>
      <c r="P127" s="25"/>
      <c r="Q127" s="25"/>
      <c r="R127" s="25"/>
      <c r="S127" s="25"/>
      <c r="T127" s="25"/>
      <c r="U127" s="25"/>
    </row>
    <row r="128" spans="2:25" x14ac:dyDescent="0.35">
      <c r="B128" s="133">
        <v>6</v>
      </c>
      <c r="C128" s="134" t="s">
        <v>75</v>
      </c>
      <c r="D128" s="139">
        <f>+I70/1000</f>
        <v>-24</v>
      </c>
      <c r="E128" s="55">
        <f>+J70/1000</f>
        <v>-21</v>
      </c>
      <c r="F128" s="97">
        <f>+I70/1000</f>
        <v>-24</v>
      </c>
      <c r="G128" s="55">
        <f>+J73/1000</f>
        <v>-23</v>
      </c>
      <c r="H128" s="137">
        <f t="shared" si="17"/>
        <v>0</v>
      </c>
      <c r="I128" s="137">
        <f t="shared" si="18"/>
        <v>2</v>
      </c>
      <c r="J128" s="138">
        <f t="shared" si="19"/>
        <v>-2</v>
      </c>
      <c r="P128" s="25"/>
      <c r="Q128" s="25"/>
      <c r="R128" s="25"/>
      <c r="S128" s="25"/>
      <c r="T128" s="25"/>
      <c r="U128" s="25"/>
    </row>
    <row r="129" spans="2:22" x14ac:dyDescent="0.35">
      <c r="B129" s="133">
        <v>7</v>
      </c>
      <c r="C129" s="134" t="s">
        <v>3</v>
      </c>
      <c r="D129" s="139">
        <f>+G153-J153</f>
        <v>700</v>
      </c>
      <c r="E129" s="55">
        <f>+J158</f>
        <v>612</v>
      </c>
      <c r="F129" s="97">
        <v>640</v>
      </c>
      <c r="G129" s="55">
        <f>+I109</f>
        <v>688</v>
      </c>
      <c r="H129" s="137">
        <f t="shared" si="17"/>
        <v>60</v>
      </c>
      <c r="I129" s="137">
        <f t="shared" si="18"/>
        <v>-76</v>
      </c>
      <c r="J129" s="138">
        <f t="shared" si="19"/>
        <v>136</v>
      </c>
      <c r="P129" s="25"/>
      <c r="Q129" s="25"/>
      <c r="R129" s="25"/>
      <c r="S129" s="25"/>
      <c r="T129" s="25"/>
      <c r="U129" s="25"/>
    </row>
    <row r="130" spans="2:22" x14ac:dyDescent="0.35">
      <c r="B130" s="140">
        <v>8</v>
      </c>
      <c r="C130" s="141" t="s">
        <v>128</v>
      </c>
      <c r="D130" s="142"/>
      <c r="E130" s="33"/>
      <c r="F130" s="175">
        <v>-300</v>
      </c>
      <c r="G130" s="176">
        <v>-240</v>
      </c>
      <c r="H130" s="137">
        <f t="shared" si="17"/>
        <v>300</v>
      </c>
      <c r="I130" s="137">
        <f t="shared" si="18"/>
        <v>240</v>
      </c>
      <c r="J130" s="138">
        <f t="shared" si="19"/>
        <v>60</v>
      </c>
      <c r="P130" s="25"/>
      <c r="Q130" s="25"/>
      <c r="R130" s="25"/>
      <c r="S130" s="25"/>
      <c r="T130" s="25"/>
      <c r="U130" s="25"/>
    </row>
    <row r="131" spans="2:22" hidden="1" x14ac:dyDescent="0.35">
      <c r="B131" s="125" t="s">
        <v>70</v>
      </c>
      <c r="C131" s="107"/>
      <c r="D131" s="143"/>
      <c r="E131" s="143"/>
      <c r="F131" s="143"/>
      <c r="G131" s="55"/>
      <c r="H131" s="137">
        <f t="shared" si="17"/>
        <v>0</v>
      </c>
      <c r="I131" s="137">
        <f t="shared" si="18"/>
        <v>0</v>
      </c>
      <c r="J131" s="138">
        <f>+I131-H131</f>
        <v>0</v>
      </c>
      <c r="P131" s="25"/>
      <c r="Q131" s="25"/>
      <c r="R131" s="25"/>
      <c r="S131" s="25"/>
      <c r="T131" s="25"/>
      <c r="U131" s="25"/>
    </row>
    <row r="132" spans="2:22" hidden="1" x14ac:dyDescent="0.35">
      <c r="B132" s="24"/>
      <c r="C132" s="26"/>
      <c r="D132" s="97"/>
      <c r="E132" s="97"/>
      <c r="F132" s="97"/>
      <c r="G132" s="55"/>
      <c r="H132" s="137">
        <f t="shared" si="17"/>
        <v>0</v>
      </c>
      <c r="I132" s="137">
        <f t="shared" si="18"/>
        <v>0</v>
      </c>
      <c r="J132" s="138">
        <f>+I132-H132</f>
        <v>0</v>
      </c>
      <c r="P132" s="25"/>
      <c r="Q132" s="25"/>
      <c r="R132" s="25"/>
      <c r="S132" s="25"/>
      <c r="T132" s="25"/>
      <c r="U132" s="25"/>
    </row>
    <row r="133" spans="2:22" x14ac:dyDescent="0.35">
      <c r="B133" s="24"/>
      <c r="C133" s="100" t="s">
        <v>76</v>
      </c>
      <c r="D133" s="46"/>
      <c r="E133" s="46"/>
      <c r="F133" s="46"/>
      <c r="G133" s="144"/>
      <c r="H133" s="46">
        <f>SUM(H124:H132)</f>
        <v>515</v>
      </c>
      <c r="I133" s="46">
        <f>SUM(I124:I132)</f>
        <v>255.00700116686113</v>
      </c>
      <c r="J133" s="145">
        <f>SUM(J124:J132)</f>
        <v>259.99299883313887</v>
      </c>
      <c r="P133" s="25"/>
      <c r="Q133" s="25"/>
      <c r="R133" s="25"/>
      <c r="S133" s="25"/>
      <c r="T133" s="25"/>
      <c r="U133" s="25"/>
    </row>
    <row r="134" spans="2:22" x14ac:dyDescent="0.35">
      <c r="B134" s="24"/>
      <c r="C134" s="100" t="s">
        <v>13</v>
      </c>
      <c r="D134" s="46"/>
      <c r="E134" s="46"/>
      <c r="F134" s="46"/>
      <c r="G134" s="144"/>
      <c r="H134" s="50">
        <f>+$D121*H133</f>
        <v>128.75</v>
      </c>
      <c r="I134" s="46">
        <f>+$D121*I133</f>
        <v>63.751750291715283</v>
      </c>
      <c r="J134" s="145">
        <f>+$D121*J133</f>
        <v>64.998249708284717</v>
      </c>
      <c r="P134" s="25"/>
      <c r="Q134" s="25"/>
      <c r="R134" s="25"/>
      <c r="S134" s="25"/>
      <c r="T134" s="25"/>
      <c r="U134" s="25"/>
    </row>
    <row r="135" spans="2:22" x14ac:dyDescent="0.35">
      <c r="B135" s="24"/>
      <c r="C135" s="26"/>
      <c r="D135" s="26"/>
      <c r="E135" s="26"/>
      <c r="F135" s="26"/>
      <c r="G135" s="26"/>
      <c r="H135" s="26"/>
      <c r="I135" s="26"/>
      <c r="J135" s="26"/>
      <c r="P135" s="25"/>
      <c r="Q135" s="25"/>
      <c r="R135" s="25"/>
      <c r="S135" s="25"/>
      <c r="T135" s="25"/>
      <c r="U135" s="25"/>
    </row>
    <row r="136" spans="2:22" x14ac:dyDescent="0.35">
      <c r="B136" s="24"/>
      <c r="D136" s="26"/>
      <c r="F136" s="25"/>
      <c r="G136" s="25"/>
      <c r="H136" s="25"/>
      <c r="I136" s="9"/>
      <c r="J136" s="116"/>
      <c r="K136" s="26"/>
      <c r="L136" s="25"/>
      <c r="M136" s="25"/>
      <c r="O136" s="25"/>
      <c r="P136" s="25"/>
      <c r="Q136" s="25"/>
      <c r="R136" s="25"/>
      <c r="S136" s="25"/>
      <c r="T136" s="64"/>
      <c r="U136" s="64"/>
      <c r="V136" s="49"/>
    </row>
    <row r="137" spans="2:22" s="49" customFormat="1" x14ac:dyDescent="0.35">
      <c r="B137" s="146"/>
      <c r="C137" s="13" t="s">
        <v>77</v>
      </c>
      <c r="D137" s="13"/>
      <c r="N137" s="95"/>
      <c r="O137" s="64"/>
      <c r="P137" s="64"/>
      <c r="Q137" s="64"/>
      <c r="R137" s="64"/>
      <c r="S137" s="64"/>
      <c r="T137" s="64"/>
      <c r="U137" s="64"/>
      <c r="V137" s="64"/>
    </row>
    <row r="138" spans="2:22" s="49" customFormat="1" x14ac:dyDescent="0.35">
      <c r="B138" s="146"/>
      <c r="C138" s="103" t="s">
        <v>78</v>
      </c>
      <c r="D138" s="103"/>
      <c r="E138" s="137">
        <f>-SUM(P20:P32)</f>
        <v>206</v>
      </c>
      <c r="F138" s="137">
        <f>+E138</f>
        <v>206</v>
      </c>
      <c r="G138" s="147"/>
      <c r="I138" s="29"/>
      <c r="N138" s="95" t="s">
        <v>37</v>
      </c>
      <c r="O138" s="64"/>
      <c r="P138" s="64"/>
      <c r="Q138" s="64"/>
      <c r="R138" s="64"/>
      <c r="S138" s="64"/>
      <c r="T138" s="64"/>
      <c r="U138" s="64"/>
      <c r="V138" s="64"/>
    </row>
    <row r="139" spans="2:22" s="49" customFormat="1" x14ac:dyDescent="0.35">
      <c r="B139" s="146"/>
      <c r="C139" s="103" t="s">
        <v>80</v>
      </c>
      <c r="D139" s="103"/>
      <c r="E139" s="137">
        <f>(P29+P32)</f>
        <v>28</v>
      </c>
      <c r="F139" s="147"/>
      <c r="G139" s="147">
        <f>+P29</f>
        <v>-12</v>
      </c>
      <c r="H139" s="137">
        <f>+P32</f>
        <v>40</v>
      </c>
      <c r="I139" s="29"/>
      <c r="N139" s="95"/>
      <c r="O139" s="64"/>
      <c r="P139" s="64"/>
      <c r="Q139" s="64"/>
      <c r="R139" s="64"/>
      <c r="S139" s="64"/>
      <c r="T139" s="64"/>
      <c r="U139" s="64"/>
      <c r="V139" s="64"/>
    </row>
    <row r="140" spans="2:22" s="49" customFormat="1" x14ac:dyDescent="0.35">
      <c r="B140" s="146"/>
      <c r="C140" s="103" t="s">
        <v>79</v>
      </c>
      <c r="D140" s="103"/>
      <c r="E140" s="137">
        <f>J133</f>
        <v>259.99299883313887</v>
      </c>
      <c r="F140" s="147"/>
      <c r="G140" s="147" t="s">
        <v>142</v>
      </c>
      <c r="H140" s="137" t="s">
        <v>143</v>
      </c>
      <c r="I140" s="29"/>
      <c r="N140" s="95"/>
      <c r="O140" s="64"/>
      <c r="P140" s="64"/>
      <c r="Q140" s="64"/>
      <c r="R140" s="64"/>
      <c r="S140" s="64"/>
      <c r="T140" s="64"/>
      <c r="U140" s="64"/>
      <c r="V140" s="64"/>
    </row>
    <row r="141" spans="2:22" x14ac:dyDescent="0.35">
      <c r="C141" s="103" t="s">
        <v>81</v>
      </c>
      <c r="D141" s="103"/>
      <c r="E141" s="46">
        <f>SUM(E138:E140)</f>
        <v>493.99299883313887</v>
      </c>
      <c r="F141" s="137"/>
      <c r="G141" s="137"/>
      <c r="H141" s="137"/>
      <c r="N141" s="95"/>
      <c r="O141" s="64"/>
      <c r="P141" s="25"/>
      <c r="Q141" s="25"/>
      <c r="R141" s="25"/>
      <c r="S141" s="25"/>
      <c r="T141" s="25"/>
      <c r="U141" s="25"/>
      <c r="V141" s="25"/>
    </row>
    <row r="142" spans="2:22" x14ac:dyDescent="0.35">
      <c r="C142" s="103"/>
      <c r="D142" s="103"/>
      <c r="E142" s="97"/>
      <c r="F142" s="137"/>
      <c r="G142" s="137"/>
      <c r="H142" s="137"/>
      <c r="N142" s="95"/>
      <c r="O142" s="64"/>
      <c r="P142" s="25"/>
      <c r="Q142" s="25"/>
      <c r="R142" s="25"/>
      <c r="S142" s="25"/>
      <c r="T142" s="25"/>
      <c r="U142" s="25"/>
      <c r="V142" s="25"/>
    </row>
    <row r="143" spans="2:22" x14ac:dyDescent="0.35">
      <c r="C143" s="103" t="s">
        <v>16</v>
      </c>
      <c r="D143" s="103"/>
      <c r="E143" s="137">
        <f>D121*E141</f>
        <v>123.49824970828472</v>
      </c>
      <c r="G143" s="169">
        <f>+D121</f>
        <v>0.25</v>
      </c>
      <c r="H143" s="170">
        <f>+E143</f>
        <v>123.49824970828472</v>
      </c>
      <c r="N143" s="95"/>
      <c r="O143" s="64"/>
      <c r="P143" s="25"/>
      <c r="Q143" s="25"/>
      <c r="R143" s="25"/>
      <c r="S143" s="25"/>
      <c r="T143" s="25"/>
      <c r="U143" s="25"/>
      <c r="V143" s="25"/>
    </row>
    <row r="144" spans="2:22" x14ac:dyDescent="0.35">
      <c r="C144" s="103" t="s">
        <v>82</v>
      </c>
      <c r="D144" s="103"/>
      <c r="E144" s="137">
        <f>D19</f>
        <v>4</v>
      </c>
      <c r="F144" s="137"/>
      <c r="G144" s="137"/>
      <c r="H144" s="137"/>
      <c r="N144" s="95"/>
      <c r="O144" s="64"/>
      <c r="P144" s="25"/>
      <c r="Q144" s="25"/>
      <c r="R144" s="25"/>
      <c r="S144" s="25"/>
      <c r="T144" s="25"/>
      <c r="U144" s="25"/>
      <c r="V144" s="25"/>
    </row>
    <row r="145" spans="2:24" x14ac:dyDescent="0.35">
      <c r="C145" s="103" t="s">
        <v>28</v>
      </c>
      <c r="D145" s="103"/>
      <c r="E145" s="137">
        <f>-J134</f>
        <v>-64.998249708284717</v>
      </c>
      <c r="F145" s="137"/>
      <c r="G145" s="137"/>
      <c r="H145" s="137"/>
      <c r="N145" s="95"/>
      <c r="O145" s="64"/>
      <c r="P145" s="25"/>
      <c r="Q145" s="25"/>
      <c r="R145" s="25"/>
      <c r="S145" s="25"/>
      <c r="T145" s="25"/>
      <c r="U145" s="25"/>
      <c r="V145" s="25"/>
    </row>
    <row r="146" spans="2:24" x14ac:dyDescent="0.35">
      <c r="C146" s="103" t="s">
        <v>83</v>
      </c>
      <c r="D146" s="103"/>
      <c r="E146" s="46">
        <f>SUM(E143:E145)</f>
        <v>62.5</v>
      </c>
      <c r="F146" s="34">
        <f>-E146</f>
        <v>-62.5</v>
      </c>
      <c r="N146" s="95"/>
      <c r="O146" s="64"/>
      <c r="P146" s="25"/>
      <c r="Q146" s="25"/>
      <c r="R146" s="25"/>
      <c r="S146" s="25"/>
      <c r="T146" s="25"/>
      <c r="U146" s="25"/>
      <c r="V146" s="25"/>
    </row>
    <row r="147" spans="2:24" x14ac:dyDescent="0.35">
      <c r="C147" s="103" t="s">
        <v>129</v>
      </c>
      <c r="D147" s="103"/>
      <c r="E147" s="137"/>
      <c r="F147" s="34">
        <f>SUM(F138:F146)</f>
        <v>143.5</v>
      </c>
      <c r="G147" s="25"/>
      <c r="N147" s="95"/>
      <c r="O147" s="64"/>
      <c r="P147" s="25"/>
      <c r="Q147" s="25"/>
      <c r="R147" s="25"/>
      <c r="S147" s="25"/>
      <c r="T147" s="25"/>
      <c r="U147" s="25"/>
      <c r="V147" s="25"/>
    </row>
    <row r="148" spans="2:24" x14ac:dyDescent="0.35">
      <c r="N148" s="95"/>
      <c r="O148" s="64"/>
      <c r="P148" s="25"/>
      <c r="Q148" s="25"/>
      <c r="R148" s="25"/>
      <c r="S148" s="25"/>
      <c r="T148" s="25"/>
      <c r="U148" s="25"/>
      <c r="V148" s="25"/>
      <c r="W148" s="25"/>
    </row>
    <row r="149" spans="2:24" x14ac:dyDescent="0.35">
      <c r="M149" s="95"/>
      <c r="N149" s="95"/>
      <c r="O149" s="64"/>
      <c r="P149" s="25"/>
      <c r="Q149" s="25"/>
      <c r="R149" s="25"/>
      <c r="S149" s="25"/>
      <c r="T149" s="25"/>
      <c r="U149" s="25"/>
      <c r="V149" s="25"/>
    </row>
    <row r="150" spans="2:24" x14ac:dyDescent="0.35">
      <c r="M150" s="95"/>
      <c r="N150" s="95"/>
      <c r="O150" s="64"/>
      <c r="P150" s="25"/>
      <c r="Q150" s="25"/>
      <c r="R150" s="25"/>
      <c r="S150" s="25"/>
      <c r="T150" s="25"/>
      <c r="U150" s="25"/>
      <c r="V150" s="25"/>
    </row>
    <row r="151" spans="2:24" hidden="1" x14ac:dyDescent="0.35">
      <c r="M151" s="95"/>
      <c r="N151" s="95"/>
      <c r="O151" s="95"/>
      <c r="P151" s="64"/>
      <c r="Q151" s="25"/>
      <c r="R151" s="25"/>
      <c r="S151" s="25"/>
      <c r="T151" s="25"/>
      <c r="U151" s="25"/>
      <c r="V151" s="25"/>
      <c r="W151" s="25"/>
    </row>
    <row r="152" spans="2:24" hidden="1" x14ac:dyDescent="0.35">
      <c r="C152" s="103" t="s">
        <v>101</v>
      </c>
      <c r="D152" s="104">
        <v>0.2</v>
      </c>
      <c r="F152" s="105" t="s">
        <v>102</v>
      </c>
      <c r="G152" s="105"/>
      <c r="I152" s="105" t="s">
        <v>103</v>
      </c>
      <c r="J152" s="106"/>
      <c r="K152" s="26"/>
      <c r="L152" s="98" t="s">
        <v>104</v>
      </c>
      <c r="M152" s="99">
        <f>+D153</f>
        <v>40</v>
      </c>
      <c r="N152" s="29"/>
      <c r="O152" s="95"/>
      <c r="P152" s="64"/>
      <c r="Q152" s="25"/>
      <c r="R152" s="25"/>
      <c r="S152" s="25"/>
      <c r="T152" s="25"/>
      <c r="U152" s="25"/>
      <c r="V152" s="25"/>
      <c r="W152" s="25"/>
    </row>
    <row r="153" spans="2:24" hidden="1" x14ac:dyDescent="0.35">
      <c r="C153" s="103" t="s">
        <v>105</v>
      </c>
      <c r="D153" s="103">
        <v>40</v>
      </c>
      <c r="E153" s="103">
        <v>0</v>
      </c>
      <c r="F153" s="103" t="s">
        <v>65</v>
      </c>
      <c r="G153" s="25">
        <v>1500</v>
      </c>
      <c r="I153" s="103" t="s">
        <v>65</v>
      </c>
      <c r="J153" s="63">
        <v>800</v>
      </c>
      <c r="K153" s="26"/>
      <c r="L153" s="105" t="s">
        <v>106</v>
      </c>
      <c r="M153" s="63">
        <f>-I95</f>
        <v>-45</v>
      </c>
      <c r="N153" s="29"/>
      <c r="O153" s="95"/>
      <c r="P153" s="64"/>
      <c r="Q153" s="25"/>
      <c r="R153" s="25"/>
      <c r="S153" s="25"/>
      <c r="T153" s="25"/>
      <c r="U153" s="25"/>
    </row>
    <row r="154" spans="2:24" hidden="1" x14ac:dyDescent="0.35">
      <c r="C154" s="103" t="s">
        <v>107</v>
      </c>
      <c r="D154" s="103">
        <v>1</v>
      </c>
      <c r="F154" s="103" t="s">
        <v>66</v>
      </c>
      <c r="G154" s="25">
        <v>260</v>
      </c>
      <c r="I154" s="103" t="s">
        <v>108</v>
      </c>
      <c r="J154" s="63">
        <f>+I90</f>
        <v>303</v>
      </c>
      <c r="K154" s="26"/>
      <c r="L154" s="8" t="s">
        <v>109</v>
      </c>
      <c r="M154" s="111">
        <f>+D153+M153</f>
        <v>-5</v>
      </c>
      <c r="N154" s="29"/>
      <c r="O154" s="64"/>
      <c r="P154" s="25"/>
      <c r="Q154" s="25"/>
      <c r="R154" s="25"/>
      <c r="S154" s="25"/>
      <c r="T154" s="25"/>
      <c r="U154" s="25"/>
    </row>
    <row r="155" spans="2:24" hidden="1" x14ac:dyDescent="0.35">
      <c r="C155" s="103" t="s">
        <v>110</v>
      </c>
      <c r="D155" s="29">
        <v>2.75</v>
      </c>
      <c r="E155" s="103">
        <v>0</v>
      </c>
      <c r="F155" s="103" t="s">
        <v>111</v>
      </c>
      <c r="G155" s="25">
        <v>-100</v>
      </c>
      <c r="I155" s="103" t="s">
        <v>111</v>
      </c>
      <c r="J155" s="63">
        <f>+I94</f>
        <v>-55</v>
      </c>
      <c r="K155" s="25"/>
      <c r="L155" s="25"/>
      <c r="M155" s="25"/>
      <c r="N155" s="29"/>
      <c r="O155" s="64"/>
      <c r="P155" s="25"/>
      <c r="Q155" s="25"/>
      <c r="R155" s="25"/>
      <c r="S155" s="25"/>
      <c r="T155" s="25"/>
      <c r="U155" s="25"/>
      <c r="V155" s="25"/>
    </row>
    <row r="156" spans="2:24" hidden="1" x14ac:dyDescent="0.35">
      <c r="C156" s="103" t="s">
        <v>112</v>
      </c>
      <c r="D156" s="103">
        <v>0.25</v>
      </c>
      <c r="E156" s="103">
        <v>0</v>
      </c>
      <c r="I156" s="103" t="s">
        <v>113</v>
      </c>
      <c r="J156" s="25"/>
      <c r="K156" s="25"/>
      <c r="L156" s="25"/>
      <c r="M156" s="25"/>
      <c r="N156" s="29"/>
      <c r="O156" s="95"/>
      <c r="P156" s="95"/>
      <c r="Q156" s="95"/>
      <c r="R156" s="64"/>
      <c r="S156" s="25"/>
      <c r="T156" s="25"/>
      <c r="U156" s="25"/>
      <c r="V156" s="25"/>
      <c r="W156" s="25"/>
      <c r="X156" s="25"/>
    </row>
    <row r="157" spans="2:24" hidden="1" x14ac:dyDescent="0.35">
      <c r="B157" s="24"/>
      <c r="C157" s="103" t="s">
        <v>114</v>
      </c>
      <c r="D157" s="29">
        <v>0.5</v>
      </c>
      <c r="E157" s="103">
        <v>0</v>
      </c>
      <c r="F157" s="112" t="s">
        <v>73</v>
      </c>
      <c r="G157" s="96">
        <f>SUM(G153:G155)</f>
        <v>1660</v>
      </c>
      <c r="I157" s="112" t="s">
        <v>73</v>
      </c>
      <c r="J157" s="111">
        <f>SUM(J153:J156)</f>
        <v>1048</v>
      </c>
      <c r="M157" s="25"/>
      <c r="N157" s="29"/>
      <c r="O157" s="95"/>
      <c r="P157" s="95"/>
      <c r="Q157" s="95"/>
      <c r="R157" s="64"/>
      <c r="S157" s="25"/>
      <c r="T157" s="25"/>
      <c r="U157" s="25"/>
      <c r="W157" s="25"/>
      <c r="X157" s="25"/>
    </row>
    <row r="158" spans="2:24" hidden="1" x14ac:dyDescent="0.35">
      <c r="B158" s="24"/>
      <c r="C158" s="103"/>
      <c r="E158" s="103"/>
      <c r="G158" s="25"/>
      <c r="I158" s="8" t="s">
        <v>115</v>
      </c>
      <c r="J158" s="111">
        <f>+G157-J157</f>
        <v>612</v>
      </c>
      <c r="K158" s="9"/>
      <c r="L158" s="99"/>
      <c r="M158" s="25"/>
      <c r="N158" s="29"/>
      <c r="O158" s="95"/>
      <c r="P158" s="95"/>
      <c r="Q158" s="95"/>
      <c r="R158" s="64"/>
      <c r="S158" s="25"/>
      <c r="T158" s="25"/>
      <c r="U158" s="25"/>
    </row>
    <row r="159" spans="2:24" hidden="1" x14ac:dyDescent="0.35">
      <c r="B159" s="24"/>
      <c r="C159" s="103"/>
      <c r="E159" s="103"/>
      <c r="G159" s="25"/>
      <c r="I159" s="98"/>
      <c r="J159" s="99"/>
      <c r="K159" s="9"/>
      <c r="L159" s="99"/>
      <c r="M159" s="25"/>
      <c r="N159" s="29"/>
      <c r="O159" s="95"/>
      <c r="P159" s="95"/>
      <c r="Q159" s="95"/>
      <c r="R159" s="64"/>
      <c r="S159" s="25"/>
      <c r="T159" s="25"/>
      <c r="U159" s="25"/>
    </row>
    <row r="160" spans="2:24" hidden="1" x14ac:dyDescent="0.35">
      <c r="B160" s="24"/>
      <c r="C160" s="6"/>
      <c r="M160" s="25"/>
      <c r="N160" s="29"/>
      <c r="O160" s="95"/>
      <c r="P160" s="95"/>
      <c r="Q160" s="95"/>
      <c r="R160" s="64"/>
      <c r="S160" s="25"/>
      <c r="T160" s="25"/>
      <c r="U160" s="25"/>
    </row>
    <row r="161" spans="2:21" x14ac:dyDescent="0.35">
      <c r="B161" s="24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64"/>
      <c r="O161" s="25"/>
      <c r="P161" s="25"/>
      <c r="Q161" s="25"/>
      <c r="R161" s="25"/>
      <c r="S161" s="25"/>
      <c r="T161" s="25"/>
      <c r="U161" s="25"/>
    </row>
    <row r="162" spans="2:21" x14ac:dyDescent="0.35">
      <c r="B162" s="24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64"/>
      <c r="O162" s="25"/>
      <c r="P162" s="25"/>
      <c r="Q162" s="25"/>
      <c r="R162" s="25"/>
      <c r="S162" s="25"/>
      <c r="T162" s="25"/>
      <c r="U162" s="25"/>
    </row>
    <row r="163" spans="2:21" x14ac:dyDescent="0.35">
      <c r="B163" s="24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64"/>
      <c r="O163" s="25"/>
      <c r="P163" s="25"/>
      <c r="Q163" s="25"/>
      <c r="R163" s="25"/>
      <c r="S163" s="25"/>
      <c r="T163" s="25"/>
      <c r="U163" s="25"/>
    </row>
    <row r="164" spans="2:21" x14ac:dyDescent="0.35">
      <c r="B164" s="24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64"/>
      <c r="O164" s="25"/>
      <c r="P164" s="25"/>
      <c r="Q164" s="25"/>
      <c r="R164" s="25"/>
      <c r="S164" s="25"/>
      <c r="T164" s="25"/>
      <c r="U164" s="25"/>
    </row>
    <row r="165" spans="2:21" x14ac:dyDescent="0.35">
      <c r="B165" s="24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64"/>
      <c r="O165" s="25"/>
      <c r="P165" s="25"/>
      <c r="Q165" s="25"/>
      <c r="R165" s="25"/>
      <c r="S165" s="25"/>
      <c r="T165" s="25"/>
      <c r="U165" s="25"/>
    </row>
    <row r="166" spans="2:21" x14ac:dyDescent="0.35">
      <c r="B166" s="24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64"/>
      <c r="O166" s="25"/>
      <c r="P166" s="25"/>
      <c r="Q166" s="25"/>
      <c r="R166" s="25"/>
      <c r="S166" s="25"/>
      <c r="T166" s="25"/>
      <c r="U166" s="25"/>
    </row>
    <row r="167" spans="2:21" x14ac:dyDescent="0.35">
      <c r="B167" s="24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64"/>
      <c r="O167" s="25"/>
      <c r="P167" s="25"/>
      <c r="Q167" s="25"/>
      <c r="R167" s="25"/>
      <c r="S167" s="25"/>
      <c r="T167" s="25"/>
      <c r="U167" s="25"/>
    </row>
    <row r="168" spans="2:21" x14ac:dyDescent="0.35">
      <c r="B168" s="24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64"/>
      <c r="O168" s="25"/>
      <c r="P168" s="25"/>
      <c r="Q168" s="25"/>
      <c r="R168" s="25"/>
      <c r="S168" s="25"/>
      <c r="T168" s="25"/>
      <c r="U168" s="25"/>
    </row>
    <row r="169" spans="2:21" x14ac:dyDescent="0.35">
      <c r="B169" s="24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64"/>
      <c r="O169" s="25"/>
      <c r="P169" s="25"/>
      <c r="Q169" s="25"/>
      <c r="R169" s="25"/>
      <c r="S169" s="25"/>
      <c r="T169" s="25"/>
      <c r="U169" s="25"/>
    </row>
    <row r="170" spans="2:21" x14ac:dyDescent="0.35">
      <c r="B170" s="24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64"/>
      <c r="O170" s="25"/>
      <c r="P170" s="25"/>
      <c r="Q170" s="25"/>
      <c r="R170" s="25"/>
      <c r="S170" s="25"/>
      <c r="T170" s="25"/>
      <c r="U170" s="25"/>
    </row>
    <row r="171" spans="2:21" x14ac:dyDescent="0.35">
      <c r="B171" s="148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64"/>
      <c r="O171" s="25"/>
      <c r="P171" s="25"/>
      <c r="Q171" s="25"/>
      <c r="R171" s="25"/>
      <c r="S171" s="25"/>
      <c r="T171" s="25"/>
      <c r="U171" s="25"/>
    </row>
    <row r="172" spans="2:21" x14ac:dyDescent="0.35">
      <c r="P172" s="25"/>
      <c r="Q172" s="25"/>
      <c r="R172" s="25"/>
      <c r="S172" s="25"/>
      <c r="T172" s="25"/>
      <c r="U172" s="25"/>
    </row>
    <row r="173" spans="2:21" x14ac:dyDescent="0.35">
      <c r="P173" s="25"/>
      <c r="Q173" s="25"/>
      <c r="R173" s="25"/>
      <c r="S173" s="25"/>
      <c r="T173" s="25"/>
      <c r="U173" s="25"/>
    </row>
    <row r="174" spans="2:21" x14ac:dyDescent="0.35">
      <c r="P174" s="25"/>
      <c r="Q174" s="25"/>
      <c r="R174" s="25"/>
      <c r="S174" s="25"/>
      <c r="T174" s="25"/>
      <c r="U174" s="25"/>
    </row>
    <row r="175" spans="2:21" x14ac:dyDescent="0.35">
      <c r="P175" s="25"/>
      <c r="Q175" s="25"/>
      <c r="R175" s="25"/>
      <c r="S175" s="25"/>
      <c r="T175" s="25"/>
      <c r="U175" s="25"/>
    </row>
    <row r="176" spans="2:21" x14ac:dyDescent="0.35">
      <c r="P176" s="25"/>
      <c r="Q176" s="25"/>
      <c r="R176" s="25"/>
      <c r="S176" s="25"/>
      <c r="T176" s="25"/>
      <c r="U176" s="25"/>
    </row>
    <row r="177" spans="16:19" x14ac:dyDescent="0.35">
      <c r="P177" s="25"/>
      <c r="Q177" s="25"/>
      <c r="R177" s="25"/>
      <c r="S177" s="25"/>
    </row>
  </sheetData>
  <mergeCells count="14">
    <mergeCell ref="H111:J111"/>
    <mergeCell ref="S2:T2"/>
    <mergeCell ref="M5:N5"/>
    <mergeCell ref="E66:G66"/>
    <mergeCell ref="H66:J66"/>
    <mergeCell ref="D122:E122"/>
    <mergeCell ref="F122:G122"/>
    <mergeCell ref="H122:J122"/>
    <mergeCell ref="E4:N4"/>
    <mergeCell ref="D77:E77"/>
    <mergeCell ref="F77:G77"/>
    <mergeCell ref="H77:J77"/>
    <mergeCell ref="D111:E111"/>
    <mergeCell ref="F111:G111"/>
  </mergeCells>
  <printOptions gridLines="1"/>
  <pageMargins left="0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3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3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16-21 Skjema</vt:lpstr>
      <vt:lpstr>16-21 Løsning</vt:lpstr>
      <vt:lpstr>Ark2</vt:lpstr>
      <vt:lpstr>Ark3</vt:lpstr>
      <vt:lpstr>'16-21 Løsning'!Print_Area</vt:lpstr>
      <vt:lpstr>'16-21 Skjema'!Print_Area</vt:lpstr>
    </vt:vector>
  </TitlesOfParts>
  <Company>Høgskolen i Oslo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 Engelsåstrø</dc:creator>
  <cp:lastModifiedBy>Gunnar</cp:lastModifiedBy>
  <dcterms:created xsi:type="dcterms:W3CDTF">2008-04-23T17:24:34Z</dcterms:created>
  <dcterms:modified xsi:type="dcterms:W3CDTF">2017-10-09T19:10:43Z</dcterms:modified>
</cp:coreProperties>
</file>